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Daniel\Desktop\合作办学评估\线上评估上传资料 V 1\系统评估\评估系统上传表格\"/>
    </mc:Choice>
  </mc:AlternateContent>
  <xr:revisionPtr revIDLastSave="0" documentId="13_ncr:1_{E37EF3DF-4C7C-43FA-8441-4A614516DFD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培养方案" sheetId="1" r:id="rId1"/>
    <sheet name="培养方案课程信息统计1" sheetId="2" state="hidden" r:id="rId2"/>
    <sheet name="培养方案课程信息统计" sheetId="4" r:id="rId3"/>
  </sheets>
  <definedNames>
    <definedName name="_xlnm._FilterDatabase" localSheetId="0" hidden="1">培养方案!$A$2:$CK$75</definedName>
  </definedNames>
  <calcPr calcId="191029"/>
</workbook>
</file>

<file path=xl/calcChain.xml><?xml version="1.0" encoding="utf-8"?>
<calcChain xmlns="http://schemas.openxmlformats.org/spreadsheetml/2006/main">
  <c r="J19" i="4" l="1"/>
  <c r="H19" i="4"/>
  <c r="F19" i="4"/>
  <c r="D19" i="4"/>
  <c r="B19" i="4"/>
  <c r="J18" i="4"/>
  <c r="H18" i="4"/>
  <c r="F18" i="4"/>
  <c r="D18" i="4"/>
  <c r="B18" i="4"/>
  <c r="J17" i="4"/>
  <c r="H17" i="4"/>
  <c r="F17" i="4"/>
  <c r="D17" i="4"/>
  <c r="B17" i="4"/>
  <c r="J16" i="4"/>
  <c r="H16" i="4"/>
  <c r="F16" i="4"/>
  <c r="D16" i="4"/>
  <c r="B16" i="4"/>
  <c r="J15" i="4"/>
  <c r="H15" i="4"/>
  <c r="F15" i="4"/>
  <c r="D15" i="4"/>
  <c r="B15" i="4"/>
  <c r="J14" i="4"/>
  <c r="H14" i="4"/>
  <c r="F14" i="4"/>
  <c r="D14" i="4"/>
  <c r="B14" i="4"/>
  <c r="J13" i="4"/>
  <c r="H13" i="4"/>
  <c r="F13" i="4"/>
  <c r="D13" i="4"/>
  <c r="B13" i="4"/>
  <c r="J10" i="4"/>
  <c r="H10" i="4"/>
  <c r="F10" i="4"/>
  <c r="D10" i="4"/>
  <c r="B10" i="4"/>
  <c r="J9" i="4"/>
  <c r="H9" i="4"/>
  <c r="F9" i="4"/>
  <c r="D9" i="4"/>
  <c r="B9" i="4"/>
  <c r="J8" i="4"/>
  <c r="H8" i="4"/>
  <c r="F8" i="4"/>
  <c r="D8" i="4"/>
  <c r="B8" i="4"/>
  <c r="J7" i="4"/>
  <c r="H7" i="4"/>
  <c r="F7" i="4"/>
  <c r="D7" i="4"/>
  <c r="B7" i="4"/>
  <c r="J6" i="4"/>
  <c r="H6" i="4"/>
  <c r="F6" i="4"/>
  <c r="D6" i="4"/>
  <c r="B6" i="4"/>
  <c r="J5" i="4"/>
  <c r="H5" i="4"/>
  <c r="F5" i="4"/>
  <c r="D5" i="4"/>
  <c r="B5" i="4"/>
  <c r="J4" i="4"/>
  <c r="H4" i="4"/>
  <c r="F4" i="4"/>
  <c r="D4" i="4"/>
  <c r="B4" i="4"/>
  <c r="J19" i="2"/>
  <c r="H19" i="2"/>
  <c r="F19" i="2"/>
  <c r="D19" i="2"/>
  <c r="B19" i="2"/>
  <c r="J18" i="2"/>
  <c r="H18" i="2"/>
  <c r="F18" i="2"/>
  <c r="D18" i="2"/>
  <c r="B18" i="2"/>
  <c r="J17" i="2"/>
  <c r="H17" i="2"/>
  <c r="F17" i="2"/>
  <c r="D17" i="2"/>
  <c r="B17" i="2"/>
  <c r="J16" i="2"/>
  <c r="H16" i="2"/>
  <c r="F16" i="2"/>
  <c r="D16" i="2"/>
  <c r="B16" i="2"/>
  <c r="J15" i="2"/>
  <c r="H15" i="2"/>
  <c r="F15" i="2"/>
  <c r="D15" i="2"/>
  <c r="B15" i="2"/>
  <c r="J14" i="2"/>
  <c r="H14" i="2"/>
  <c r="F14" i="2"/>
  <c r="D14" i="2"/>
  <c r="B14" i="2"/>
  <c r="J13" i="2"/>
  <c r="H13" i="2"/>
  <c r="F13" i="2"/>
  <c r="D13" i="2"/>
  <c r="B13" i="2"/>
  <c r="J10" i="2"/>
  <c r="H10" i="2"/>
  <c r="F10" i="2"/>
  <c r="D10" i="2"/>
  <c r="B10" i="2"/>
  <c r="J9" i="2"/>
  <c r="H9" i="2"/>
  <c r="F9" i="2"/>
  <c r="D9" i="2"/>
  <c r="B9" i="2"/>
  <c r="J8" i="2"/>
  <c r="H8" i="2"/>
  <c r="F8" i="2"/>
  <c r="D8" i="2"/>
  <c r="B8" i="2"/>
  <c r="J7" i="2"/>
  <c r="H7" i="2"/>
  <c r="F7" i="2"/>
  <c r="D7" i="2"/>
  <c r="B7" i="2"/>
  <c r="J6" i="2"/>
  <c r="H6" i="2"/>
  <c r="F6" i="2"/>
  <c r="D6" i="2"/>
  <c r="B6" i="2"/>
  <c r="J5" i="2"/>
  <c r="H5" i="2"/>
  <c r="F5" i="2"/>
  <c r="D5" i="2"/>
  <c r="B5" i="2"/>
  <c r="J4" i="2"/>
  <c r="H4" i="2"/>
  <c r="F4" i="2"/>
  <c r="D4" i="2"/>
  <c r="B4" i="2"/>
  <c r="C8" i="2" l="1"/>
  <c r="C10" i="4"/>
  <c r="I4" i="4"/>
  <c r="C7" i="4"/>
  <c r="C7" i="2"/>
  <c r="C4" i="2"/>
  <c r="C6" i="2"/>
  <c r="C10" i="2"/>
  <c r="G5" i="4"/>
  <c r="E10" i="4"/>
  <c r="I7" i="2"/>
  <c r="G4" i="2"/>
  <c r="E4" i="2"/>
  <c r="K8" i="2"/>
  <c r="I5" i="2"/>
  <c r="G6" i="2"/>
  <c r="I9" i="2"/>
  <c r="G10" i="2"/>
  <c r="K9" i="2"/>
  <c r="E6" i="4"/>
  <c r="K7" i="4"/>
  <c r="K4" i="2"/>
  <c r="I4" i="2"/>
  <c r="G8" i="2"/>
  <c r="K6" i="2"/>
  <c r="K10" i="2"/>
  <c r="G9" i="2"/>
  <c r="E10" i="2"/>
  <c r="I10" i="2"/>
  <c r="G4" i="4"/>
  <c r="E5" i="4"/>
  <c r="C6" i="4"/>
  <c r="K6" i="4"/>
  <c r="I7" i="4"/>
  <c r="G8" i="4"/>
  <c r="E9" i="4"/>
  <c r="K10" i="4"/>
  <c r="G7" i="2"/>
  <c r="K7" i="2"/>
  <c r="E8" i="2"/>
  <c r="I8" i="2"/>
  <c r="C9" i="2"/>
  <c r="I8" i="4"/>
  <c r="G9" i="4"/>
  <c r="E9" i="2"/>
  <c r="G5" i="2"/>
  <c r="K5" i="2"/>
  <c r="E6" i="2"/>
  <c r="I6" i="2"/>
  <c r="C4" i="4"/>
  <c r="K4" i="4"/>
  <c r="I5" i="4"/>
  <c r="G6" i="4"/>
  <c r="E7" i="4"/>
  <c r="C8" i="4"/>
  <c r="K8" i="4"/>
  <c r="I9" i="4"/>
  <c r="G10" i="4"/>
  <c r="C5" i="2"/>
  <c r="E4" i="4"/>
  <c r="C5" i="4"/>
  <c r="K5" i="4"/>
  <c r="I6" i="4"/>
  <c r="G7" i="4"/>
  <c r="E8" i="4"/>
  <c r="C9" i="4"/>
  <c r="K9" i="4"/>
  <c r="I10" i="4"/>
  <c r="E5" i="2"/>
  <c r="E7" i="2"/>
</calcChain>
</file>

<file path=xl/sharedStrings.xml><?xml version="1.0" encoding="utf-8"?>
<sst xmlns="http://schemas.openxmlformats.org/spreadsheetml/2006/main" count="894" uniqueCount="334">
  <si>
    <t>培养方案</t>
  </si>
  <si>
    <t>序号</t>
  </si>
  <si>
    <t>课程代码</t>
  </si>
  <si>
    <t>课程名称</t>
  </si>
  <si>
    <t>授课语言</t>
  </si>
  <si>
    <t>课时数</t>
  </si>
  <si>
    <t>课程性质</t>
  </si>
  <si>
    <t>课程类型</t>
  </si>
  <si>
    <t>课程来源</t>
  </si>
  <si>
    <t>考核方式</t>
  </si>
  <si>
    <t>授课教师姓名</t>
  </si>
  <si>
    <t>教材名称</t>
  </si>
  <si>
    <t>教材使用语言</t>
  </si>
  <si>
    <t>作者</t>
  </si>
  <si>
    <t>出版社</t>
  </si>
  <si>
    <t>出版时间</t>
  </si>
  <si>
    <t>备注</t>
  </si>
  <si>
    <t>1000000012001</t>
  </si>
  <si>
    <t>军事教育</t>
  </si>
  <si>
    <t>中文</t>
  </si>
  <si>
    <t>公共基础课</t>
  </si>
  <si>
    <t>必修课</t>
  </si>
  <si>
    <t>中方开设课程</t>
  </si>
  <si>
    <t>考查</t>
  </si>
  <si>
    <t>马建勋</t>
  </si>
  <si>
    <t>查金路</t>
  </si>
  <si>
    <t>人民出版社</t>
  </si>
  <si>
    <t>1000000012002</t>
  </si>
  <si>
    <t>思想道德修养与法律基础</t>
  </si>
  <si>
    <t>郭怡</t>
  </si>
  <si>
    <t>思想道德与法治</t>
  </si>
  <si>
    <t>本书编写组</t>
  </si>
  <si>
    <t>高等教育出版社</t>
  </si>
  <si>
    <t>22000000008</t>
  </si>
  <si>
    <t>毛泽东思想和中国特色
社会主义理论体系概论</t>
  </si>
  <si>
    <t>考试</t>
  </si>
  <si>
    <t xml:space="preserve">张艳霞，李想 </t>
  </si>
  <si>
    <t>毛泽东思想和中国特色社会主义理论体系概论</t>
  </si>
  <si>
    <t>22520101037</t>
  </si>
  <si>
    <t>综合英语</t>
  </si>
  <si>
    <t>双语</t>
  </si>
  <si>
    <t>引进外方课程</t>
  </si>
  <si>
    <t>聂淑亚</t>
  </si>
  <si>
    <t>新概念英语2</t>
  </si>
  <si>
    <t>外文</t>
  </si>
  <si>
    <t>亚历山大 (L.G. Alexander)，何其莘</t>
  </si>
  <si>
    <t>外语教学与研究出版社</t>
  </si>
  <si>
    <t>New Edition 新版</t>
  </si>
  <si>
    <t>英语听说</t>
  </si>
  <si>
    <t>interchange剑桥国际英语教程（入门级）学生包</t>
  </si>
  <si>
    <t>(新西兰)Jack C. Richards//(英)Jonathan Hull//(美)Susan Proctor</t>
  </si>
  <si>
    <t>第五版</t>
  </si>
  <si>
    <t>22520101044</t>
  </si>
  <si>
    <t>医学英语</t>
  </si>
  <si>
    <t>Aravind Raveendran，Mirwais Alizada</t>
  </si>
  <si>
    <t>Eric H.Glendinning, Ron Howard</t>
  </si>
  <si>
    <t>CAMBRIDGE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</si>
  <si>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020年</t>
    </r>
  </si>
  <si>
    <t>1000000011005</t>
  </si>
  <si>
    <t>体育</t>
  </si>
  <si>
    <t>侯鹏飞,吴静,牛文君,徐永丽</t>
  </si>
  <si>
    <t>体育与健康</t>
  </si>
  <si>
    <t>祝金彪，吴静</t>
  </si>
  <si>
    <t>江西高校出版社</t>
  </si>
  <si>
    <t>1000000012006</t>
  </si>
  <si>
    <t>计算机基础</t>
  </si>
  <si>
    <t>朱利利</t>
  </si>
  <si>
    <t>大学计算机基础</t>
  </si>
  <si>
    <t>郑倩倩、智淑敏、廖启明</t>
  </si>
  <si>
    <t>河南科学技术出版社</t>
  </si>
  <si>
    <t>1000000012007</t>
  </si>
  <si>
    <t>形势与政策</t>
  </si>
  <si>
    <t>杨明琨，杨笑冰</t>
  </si>
  <si>
    <t>时事报告大学生版</t>
  </si>
  <si>
    <t>教育部社会科学司</t>
  </si>
  <si>
    <t>中共中央宣传部时
事报告杂志社</t>
  </si>
  <si>
    <t>1000000012008</t>
  </si>
  <si>
    <t>大学生心理健康教育</t>
  </si>
  <si>
    <t>娄书伟</t>
  </si>
  <si>
    <t>大学生心理健康教程</t>
  </si>
  <si>
    <t>徐玉芳、王晨</t>
  </si>
  <si>
    <t>人民卫生出版社</t>
  </si>
  <si>
    <t>1000000012009</t>
  </si>
  <si>
    <t>大学生职业发展与就业指导</t>
  </si>
  <si>
    <t>张雯 ，易善芝</t>
  </si>
  <si>
    <t>河南省高校就业指导统编教材编写组</t>
  </si>
  <si>
    <t>河南大学出版社</t>
  </si>
  <si>
    <t>1000000012010</t>
  </si>
  <si>
    <t>大学生创新创业基础</t>
  </si>
  <si>
    <t>张雯</t>
  </si>
  <si>
    <t>大学生创新创业</t>
  </si>
  <si>
    <t>邓文达、罗旭、刘寒春</t>
  </si>
  <si>
    <t>人民邮电出版社</t>
  </si>
  <si>
    <t>1620101021001</t>
  </si>
  <si>
    <t>人体解剖学</t>
  </si>
  <si>
    <t>专业基础课</t>
  </si>
  <si>
    <t>李晓，李建华，宋亚琼，穆卫卫，宋倩红，杨璞，张漂</t>
  </si>
  <si>
    <t>人体解剖学与组织胚胎学</t>
  </si>
  <si>
    <t xml:space="preserve"> 吴建清、徐治</t>
  </si>
  <si>
    <t>1620101022002</t>
  </si>
  <si>
    <t>组织胚胎学</t>
  </si>
  <si>
    <t>Leslie P.Gartner
Ronald W.Dudek</t>
  </si>
  <si>
    <t>Elsevier
Lippincott Williams &amp; Wilkins</t>
  </si>
  <si>
    <t>2020年4月
2014年4月</t>
  </si>
  <si>
    <t>1620101021003</t>
  </si>
  <si>
    <t>生理学</t>
  </si>
  <si>
    <t>许丽娜</t>
  </si>
  <si>
    <t>白波、王福青</t>
  </si>
  <si>
    <t>1620101021004</t>
  </si>
  <si>
    <t>生物化学</t>
  </si>
  <si>
    <t>Denise R.Ferrier</t>
  </si>
  <si>
    <t>Wolters Kluwer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</si>
  <si>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017年</t>
    </r>
  </si>
  <si>
    <t>1620101021005</t>
  </si>
  <si>
    <t>病理解剖学</t>
  </si>
  <si>
    <t>龚阿芳，孙天然，孙彦宜，肖亚利，崔晓希，黄蓉</t>
  </si>
  <si>
    <t>病理学与病理生理学</t>
  </si>
  <si>
    <t>陈振文、杨美玲</t>
  </si>
  <si>
    <t>1620101022006</t>
  </si>
  <si>
    <t>病理生理学</t>
  </si>
  <si>
    <t>Aravind Raveendran,Dinesh Vererapatrar</t>
  </si>
  <si>
    <t>Gary D. Hammer and Stephen J.McPhee</t>
  </si>
  <si>
    <t>Mc Graw Hill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</si>
  <si>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019年</t>
    </r>
  </si>
  <si>
    <t>1620101022007</t>
  </si>
  <si>
    <t>病原微生物与免疫学</t>
  </si>
  <si>
    <t>李贝贝</t>
  </si>
  <si>
    <t>病原生物学和免疫学</t>
  </si>
  <si>
    <t>刘荣臻、曹元应</t>
  </si>
  <si>
    <t>22520101008</t>
  </si>
  <si>
    <t>医学心理学</t>
  </si>
  <si>
    <t xml:space="preserve">Aravind  Raveendran </t>
  </si>
  <si>
    <t>Andrew M.Pomerantz</t>
  </si>
  <si>
    <t>SAGE</t>
  </si>
  <si>
    <t>22520101009</t>
  </si>
  <si>
    <t>诊断学</t>
  </si>
  <si>
    <t>专业核心课</t>
  </si>
  <si>
    <t>孙长柏,王献红,李盼盼</t>
  </si>
  <si>
    <t>许有华、樊华</t>
  </si>
  <si>
    <t>22520101010</t>
  </si>
  <si>
    <t>药理学</t>
  </si>
  <si>
    <t>马记平，刘丹花 ，王利</t>
  </si>
  <si>
    <t>王开贞，李卫平</t>
  </si>
  <si>
    <t>22520101011</t>
  </si>
  <si>
    <t>全科医学概论</t>
  </si>
  <si>
    <t>郑凤龙</t>
  </si>
  <si>
    <t>于晓松、路孝勤</t>
  </si>
  <si>
    <t>22520101012</t>
  </si>
  <si>
    <t>基本公共卫生服务实务</t>
  </si>
  <si>
    <t>汤亚东</t>
  </si>
  <si>
    <t>王永红，史卫红，静香芝</t>
  </si>
  <si>
    <t>化学工业出版社</t>
  </si>
  <si>
    <t>22520101013</t>
  </si>
  <si>
    <t>外科学总论</t>
  </si>
  <si>
    <t>O.James Garden and Rowan W.Parks</t>
  </si>
  <si>
    <t>ELSAVIER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</si>
  <si>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018年</t>
    </r>
  </si>
  <si>
    <t>22520101014</t>
  </si>
  <si>
    <t>系统外科学</t>
  </si>
  <si>
    <t>Essentials of General Surgery and Surgical Specialties</t>
  </si>
  <si>
    <t>Peter F.Lawrence</t>
  </si>
  <si>
    <t>22520101015</t>
  </si>
  <si>
    <t>内科学</t>
  </si>
  <si>
    <t>安君君，王赟华,胡东昊,温红伟,王化玲,李盼盼,孙长柏,郅忠怡,王献红,牛艳红，胡庆军</t>
  </si>
  <si>
    <t>韩清华、孙建勋</t>
  </si>
  <si>
    <t>22520101016</t>
  </si>
  <si>
    <t>妇产科学</t>
  </si>
  <si>
    <t>樊虹</t>
  </si>
  <si>
    <t>王泽华、王艳丽</t>
  </si>
  <si>
    <t>22520101017</t>
  </si>
  <si>
    <t>儿科学</t>
  </si>
  <si>
    <t>Visual Diagnosis and Treatment in Pediatrics</t>
  </si>
  <si>
    <t xml:space="preserve">Esther K. Chung </t>
  </si>
  <si>
    <t>Lippincott Williams &amp; Wilkins</t>
  </si>
  <si>
    <t>1620101042001</t>
  </si>
  <si>
    <t>中医基础与适宜技术</t>
  </si>
  <si>
    <t>专业拓展课</t>
  </si>
  <si>
    <t>巫鑫辉，王晓明</t>
  </si>
  <si>
    <t>中医学</t>
  </si>
  <si>
    <t>潘年松</t>
  </si>
  <si>
    <t>22520101019</t>
  </si>
  <si>
    <t>医学影像诊断学</t>
  </si>
  <si>
    <t>李彩霞，王华力</t>
  </si>
  <si>
    <t>夏瑞明、刘林祥</t>
  </si>
  <si>
    <t>22520101020</t>
  </si>
  <si>
    <t>康复医学</t>
  </si>
  <si>
    <t xml:space="preserve"> 黄迎秋</t>
  </si>
  <si>
    <t>王左生、冯晓东</t>
  </si>
  <si>
    <t>郑州大学出版社</t>
  </si>
  <si>
    <t>22520101021</t>
  </si>
  <si>
    <t>预防医学</t>
  </si>
  <si>
    <t>乔小燕，王化玲</t>
  </si>
  <si>
    <t>刘明清</t>
  </si>
  <si>
    <t>22520101022</t>
  </si>
  <si>
    <t>急诊医学</t>
  </si>
  <si>
    <t>薛冰,张家薇,刘旭东,牛文剑</t>
  </si>
  <si>
    <t>秦啸龙、申文龙</t>
  </si>
  <si>
    <t>22520101023</t>
  </si>
  <si>
    <t>传染病学</t>
  </si>
  <si>
    <t>Mirwais Alizada</t>
  </si>
  <si>
    <t>Clinical Infectious Disease</t>
  </si>
  <si>
    <t>David Schlossberg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</si>
  <si>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015年</t>
    </r>
  </si>
  <si>
    <t>22520101024</t>
  </si>
  <si>
    <t>神经病学</t>
  </si>
  <si>
    <t>Netter's Neurology</t>
  </si>
  <si>
    <t>Srinivasan, Claudia Chaves, Brian Scott, Juan Small</t>
  </si>
  <si>
    <t>北京大学医学出版社</t>
  </si>
  <si>
    <t>22520101025</t>
  </si>
  <si>
    <t>五官科学</t>
  </si>
  <si>
    <t>时艳华,牛文剑,韩芳芳</t>
  </si>
  <si>
    <t>眼耳鼻喉口腔科学</t>
  </si>
  <si>
    <t>黄健</t>
  </si>
  <si>
    <t>22520101026</t>
  </si>
  <si>
    <t>皮肤性病学</t>
  </si>
  <si>
    <t>席丽红</t>
  </si>
  <si>
    <t>魏志平、胡晓军</t>
  </si>
  <si>
    <t>1000000012011</t>
  </si>
  <si>
    <t>中国传统文化的情商魅力</t>
  </si>
  <si>
    <t>选修课</t>
  </si>
  <si>
    <t>网选课</t>
  </si>
  <si>
    <t>1000000012012</t>
  </si>
  <si>
    <t>中国红色文化精神</t>
  </si>
  <si>
    <t>1000000012013</t>
  </si>
  <si>
    <t>中国近代史纲要</t>
  </si>
  <si>
    <t>1000000012014</t>
  </si>
  <si>
    <t>人文与医学</t>
  </si>
  <si>
    <t>1000000012015</t>
  </si>
  <si>
    <t>实验室安全教育</t>
  </si>
  <si>
    <t>1000000012016</t>
  </si>
  <si>
    <t>中原文化（历史）</t>
  </si>
  <si>
    <t>1000000012017</t>
  </si>
  <si>
    <t>医学信息检索</t>
  </si>
  <si>
    <t>1000000012018</t>
  </si>
  <si>
    <t>医患沟通技巧</t>
  </si>
  <si>
    <t>22000000035</t>
  </si>
  <si>
    <t>卫生法规</t>
  </si>
  <si>
    <t>22000000036</t>
  </si>
  <si>
    <t>生态文明</t>
  </si>
  <si>
    <t>22000000037</t>
  </si>
  <si>
    <t>应用写作技能与规范</t>
  </si>
  <si>
    <t>22000000038</t>
  </si>
  <si>
    <t>医学伦理学</t>
  </si>
  <si>
    <t>1000000012023</t>
  </si>
  <si>
    <t>大学生安全文化</t>
  </si>
  <si>
    <t>1000000012024</t>
  </si>
  <si>
    <t>上大学，不迷茫</t>
  </si>
  <si>
    <t>1000000012025</t>
  </si>
  <si>
    <t>死亡文化与生死教育</t>
  </si>
  <si>
    <t>22000000042</t>
  </si>
  <si>
    <t>公共关系与人际交往能力</t>
  </si>
  <si>
    <t>22000000043</t>
  </si>
  <si>
    <t>带你穿越中国医学史</t>
  </si>
  <si>
    <t>1000000012028</t>
  </si>
  <si>
    <t>王阳明心学</t>
  </si>
  <si>
    <t>1000000012029</t>
  </si>
  <si>
    <t>懂礼的你最美</t>
  </si>
  <si>
    <t>1000000012030</t>
  </si>
  <si>
    <t>急救在身边</t>
  </si>
  <si>
    <t>1000000012031</t>
  </si>
  <si>
    <t>营养与食疗学</t>
  </si>
  <si>
    <t>1000000012032</t>
  </si>
  <si>
    <t>戏曲鉴赏</t>
  </si>
  <si>
    <t>22000000049</t>
  </si>
  <si>
    <t>美术鉴赏</t>
  </si>
  <si>
    <t>1000000012034</t>
  </si>
  <si>
    <t>舞蹈鉴赏</t>
  </si>
  <si>
    <t>1000000012035</t>
  </si>
  <si>
    <t>音乐鉴赏</t>
  </si>
  <si>
    <t>1620101052001</t>
  </si>
  <si>
    <t>人体寄生虫学</t>
  </si>
  <si>
    <t>张家薇</t>
  </si>
  <si>
    <t>李会晓</t>
  </si>
  <si>
    <t>营养与膳食</t>
  </si>
  <si>
    <t>季兰芳</t>
  </si>
  <si>
    <t>1620101052003</t>
  </si>
  <si>
    <t>医学遗传学</t>
  </si>
  <si>
    <t>徐海瑛,王婷婷</t>
  </si>
  <si>
    <t>1620101052004</t>
  </si>
  <si>
    <t>健康管理概要</t>
  </si>
  <si>
    <t>田莉,潘思影</t>
  </si>
  <si>
    <t>健康管理学</t>
  </si>
  <si>
    <t>郭姣</t>
  </si>
  <si>
    <t>第一版</t>
  </si>
  <si>
    <t>22520101031</t>
  </si>
  <si>
    <t>超声检查与诊断技术</t>
  </si>
  <si>
    <t>代博</t>
  </si>
  <si>
    <t>超声检查技术</t>
  </si>
  <si>
    <t>周进祝、吕国荣</t>
  </si>
  <si>
    <t>22520101032</t>
  </si>
  <si>
    <t>社区健康服务与管理</t>
  </si>
  <si>
    <t>杜娟 , 张家薇 , 时艳华 , 万亚存</t>
  </si>
  <si>
    <t>1620101062001</t>
  </si>
  <si>
    <t>医学美容技术</t>
  </si>
  <si>
    <t>薛冰 , 张家薇 , 时艳华 , 万亚存</t>
  </si>
  <si>
    <t xml:space="preserve"> 医疗美容技术</t>
  </si>
  <si>
    <t>裘名宜</t>
  </si>
  <si>
    <t>1620101062002</t>
  </si>
  <si>
    <t>心电图判读技能</t>
  </si>
  <si>
    <t>Aravind  Raveendran</t>
  </si>
  <si>
    <t>ECG Workout</t>
  </si>
  <si>
    <t>Jane Huff</t>
  </si>
  <si>
    <t>22520101035</t>
  </si>
  <si>
    <t>院前急救技能</t>
  </si>
  <si>
    <t>牛文剑 , 刘旭东 , 韩芳芳 , 李隽丽 , 崔兆麟 , 郭书贞</t>
  </si>
  <si>
    <t>22520101036</t>
  </si>
  <si>
    <t>平产接生技术</t>
  </si>
  <si>
    <t>潘思影 , 陈容 , 田莉 , 王晴 , 杨雪 , 彭紫凝</t>
  </si>
  <si>
    <t>三、培养方案课程信息统计</t>
  </si>
  <si>
    <t>课程总数</t>
  </si>
  <si>
    <t>共同开发课程</t>
  </si>
  <si>
    <t>其他</t>
  </si>
  <si>
    <t>门数</t>
  </si>
  <si>
    <t>占比(%)</t>
  </si>
  <si>
    <t>实践课</t>
  </si>
  <si>
    <t>课程语言</t>
  </si>
  <si>
    <t>教材语言</t>
  </si>
  <si>
    <t>中文占比(%)</t>
  </si>
  <si>
    <t>外文占比(%)</t>
  </si>
  <si>
    <t>双语占比(%)</t>
  </si>
  <si>
    <t xml:space="preserve">           </t>
  </si>
  <si>
    <t>Aswinprakash Subramania</t>
    <phoneticPr fontId="6" type="noConversion"/>
  </si>
  <si>
    <t>NORMAH BINTI ABD JAMIL</t>
    <phoneticPr fontId="6" type="noConversion"/>
  </si>
  <si>
    <t>JAGADEESH DHAMODHARAN</t>
    <phoneticPr fontId="6" type="noConversion"/>
  </si>
  <si>
    <t>Textbook of Histology
Embryology</t>
    <phoneticPr fontId="6" type="noConversion"/>
  </si>
  <si>
    <t>Aravind  Raveendran,Muthuvenkatachalam Balasundaram</t>
    <phoneticPr fontId="6" type="noConversion"/>
  </si>
  <si>
    <t>Mirwais Alizada,Joshi Chandra Shekhar</t>
    <phoneticPr fontId="6" type="noConversion"/>
  </si>
  <si>
    <t>Aravind  Raveendran</t>
    <phoneticPr fontId="6" type="noConversion"/>
  </si>
  <si>
    <t>人体寄生虫学</t>
    <phoneticPr fontId="6" type="noConversion"/>
  </si>
  <si>
    <t xml:space="preserve">Professional English in use </t>
    <phoneticPr fontId="6" type="noConversion"/>
  </si>
  <si>
    <t>Lippincott Illustrated Reviews Biochemistry</t>
    <phoneticPr fontId="6" type="noConversion"/>
  </si>
  <si>
    <t>Mc Graw Hill Pathophysiology of Disease</t>
    <phoneticPr fontId="6" type="noConversion"/>
  </si>
  <si>
    <t>Clinical Psychology，Science practice and Diversity</t>
    <phoneticPr fontId="6" type="noConversion"/>
  </si>
  <si>
    <t>Principles and practice of surgery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</si>
</sst>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7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75"/>
  <sheetViews>
    <sheetView tabSelected="1" topLeftCell="B1" zoomScaleNormal="100" workbookViewId="0">
      <pane ySplit="2" topLeftCell="A15" activePane="bottomLeft" state="frozen"/>
      <selection pane="bottomLeft" activeCell="K27" sqref="K27"/>
    </sheetView>
  </sheetViews>
  <sheetFormatPr defaultColWidth="9" defaultRowHeight="14.25" x14ac:dyDescent="0.15"/>
  <cols>
    <col min="1" max="1" width="5.75" customWidth="1"/>
    <col min="2" max="2" width="17.625" style="6" customWidth="1"/>
    <col min="3" max="3" width="28.5" style="1" customWidth="1"/>
    <col min="4" max="4" width="11.625" style="7" customWidth="1"/>
    <col min="5" max="5" width="9" style="7" customWidth="1"/>
    <col min="6" max="6" width="11.75" style="7" customWidth="1"/>
    <col min="7" max="7" width="11.875" style="7" customWidth="1"/>
    <col min="8" max="8" width="11.125" style="7" customWidth="1"/>
    <col min="9" max="9" width="13.625" style="7" customWidth="1"/>
    <col min="10" max="10" width="63.5" style="7" customWidth="1"/>
    <col min="11" max="11" width="47" style="7" customWidth="1"/>
    <col min="12" max="12" width="14.625" style="7" customWidth="1"/>
    <col min="13" max="13" width="72.5" style="7" customWidth="1"/>
    <col min="14" max="14" width="21.5" style="1" customWidth="1"/>
    <col min="15" max="15" width="19.25" style="1" customWidth="1"/>
    <col min="16" max="16" width="9" style="1"/>
  </cols>
  <sheetData>
    <row r="1" spans="1:89" ht="30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</row>
    <row r="2" spans="1:89" ht="30" customHeight="1" x14ac:dyDescent="0.15">
      <c r="A2" s="2" t="s">
        <v>1</v>
      </c>
      <c r="B2" s="2" t="s">
        <v>2</v>
      </c>
      <c r="C2" s="2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2" t="s">
        <v>9</v>
      </c>
      <c r="J2" s="9" t="s">
        <v>10</v>
      </c>
      <c r="K2" s="9" t="s">
        <v>11</v>
      </c>
      <c r="L2" s="8" t="s">
        <v>12</v>
      </c>
      <c r="M2" s="9" t="s">
        <v>13</v>
      </c>
      <c r="N2" s="2" t="s">
        <v>14</v>
      </c>
      <c r="O2" s="2" t="s">
        <v>15</v>
      </c>
      <c r="P2" s="2" t="s">
        <v>16</v>
      </c>
    </row>
    <row r="3" spans="1:89" ht="30" customHeight="1" x14ac:dyDescent="0.15">
      <c r="A3" s="10">
        <v>1</v>
      </c>
      <c r="B3" s="11" t="s">
        <v>17</v>
      </c>
      <c r="C3" s="10" t="s">
        <v>18</v>
      </c>
      <c r="D3" s="12" t="s">
        <v>19</v>
      </c>
      <c r="E3" s="12">
        <v>148</v>
      </c>
      <c r="F3" s="12" t="s">
        <v>20</v>
      </c>
      <c r="G3" s="12" t="s">
        <v>21</v>
      </c>
      <c r="H3" s="9" t="s">
        <v>22</v>
      </c>
      <c r="I3" s="9" t="s">
        <v>23</v>
      </c>
      <c r="J3" s="13" t="s">
        <v>24</v>
      </c>
      <c r="K3" s="12" t="s">
        <v>18</v>
      </c>
      <c r="L3" s="12" t="s">
        <v>19</v>
      </c>
      <c r="M3" s="12" t="s">
        <v>25</v>
      </c>
      <c r="N3" s="12" t="s">
        <v>26</v>
      </c>
      <c r="O3" s="14">
        <v>43709</v>
      </c>
      <c r="P3" s="10"/>
    </row>
    <row r="4" spans="1:89" ht="30" customHeight="1" x14ac:dyDescent="0.15">
      <c r="A4" s="10">
        <v>2</v>
      </c>
      <c r="B4" s="11" t="s">
        <v>27</v>
      </c>
      <c r="C4" s="10" t="s">
        <v>28</v>
      </c>
      <c r="D4" s="12" t="s">
        <v>19</v>
      </c>
      <c r="E4" s="12">
        <v>48</v>
      </c>
      <c r="F4" s="12" t="s">
        <v>20</v>
      </c>
      <c r="G4" s="12" t="s">
        <v>21</v>
      </c>
      <c r="H4" s="9" t="s">
        <v>22</v>
      </c>
      <c r="I4" s="9" t="s">
        <v>23</v>
      </c>
      <c r="J4" s="13" t="s">
        <v>29</v>
      </c>
      <c r="K4" s="12" t="s">
        <v>30</v>
      </c>
      <c r="L4" s="12" t="s">
        <v>19</v>
      </c>
      <c r="M4" s="12" t="s">
        <v>31</v>
      </c>
      <c r="N4" s="10" t="s">
        <v>32</v>
      </c>
      <c r="O4" s="15">
        <v>44409</v>
      </c>
      <c r="P4" s="10"/>
    </row>
    <row r="5" spans="1:89" ht="30" customHeight="1" x14ac:dyDescent="0.15">
      <c r="A5" s="10">
        <v>3</v>
      </c>
      <c r="B5" s="11" t="s">
        <v>33</v>
      </c>
      <c r="C5" s="3" t="s">
        <v>34</v>
      </c>
      <c r="D5" s="12" t="s">
        <v>19</v>
      </c>
      <c r="E5" s="12">
        <v>64</v>
      </c>
      <c r="F5" s="12" t="s">
        <v>20</v>
      </c>
      <c r="G5" s="12" t="s">
        <v>21</v>
      </c>
      <c r="H5" s="9" t="s">
        <v>22</v>
      </c>
      <c r="I5" s="9" t="s">
        <v>35</v>
      </c>
      <c r="J5" s="13" t="s">
        <v>36</v>
      </c>
      <c r="K5" s="12" t="s">
        <v>37</v>
      </c>
      <c r="L5" s="12" t="s">
        <v>19</v>
      </c>
      <c r="M5" s="12" t="s">
        <v>31</v>
      </c>
      <c r="N5" s="10" t="s">
        <v>32</v>
      </c>
      <c r="O5" s="15">
        <v>44409</v>
      </c>
      <c r="P5" s="10"/>
    </row>
    <row r="6" spans="1:89" ht="30" customHeight="1" x14ac:dyDescent="0.15">
      <c r="A6" s="10">
        <v>4</v>
      </c>
      <c r="B6" s="11" t="s">
        <v>38</v>
      </c>
      <c r="C6" s="10" t="s">
        <v>39</v>
      </c>
      <c r="D6" s="12" t="s">
        <v>40</v>
      </c>
      <c r="E6" s="12">
        <v>272</v>
      </c>
      <c r="F6" s="12" t="s">
        <v>20</v>
      </c>
      <c r="G6" s="12" t="s">
        <v>21</v>
      </c>
      <c r="H6" s="9" t="s">
        <v>41</v>
      </c>
      <c r="I6" s="9" t="s">
        <v>35</v>
      </c>
      <c r="J6" s="13" t="s">
        <v>42</v>
      </c>
      <c r="K6" s="12" t="s">
        <v>43</v>
      </c>
      <c r="L6" s="12" t="s">
        <v>44</v>
      </c>
      <c r="M6" s="16" t="s">
        <v>45</v>
      </c>
      <c r="N6" s="17" t="s">
        <v>46</v>
      </c>
      <c r="O6" s="10" t="s">
        <v>47</v>
      </c>
      <c r="P6" s="10"/>
    </row>
    <row r="7" spans="1:89" ht="30" customHeight="1" x14ac:dyDescent="0.15">
      <c r="A7" s="10">
        <v>5</v>
      </c>
      <c r="B7" s="11">
        <v>22520101042</v>
      </c>
      <c r="C7" s="10" t="s">
        <v>48</v>
      </c>
      <c r="D7" s="12" t="s">
        <v>40</v>
      </c>
      <c r="E7" s="12">
        <v>104</v>
      </c>
      <c r="F7" s="12" t="s">
        <v>20</v>
      </c>
      <c r="G7" s="12" t="s">
        <v>21</v>
      </c>
      <c r="H7" s="9" t="s">
        <v>41</v>
      </c>
      <c r="I7" s="9" t="s">
        <v>23</v>
      </c>
      <c r="J7" s="13" t="s">
        <v>42</v>
      </c>
      <c r="K7" s="12" t="s">
        <v>49</v>
      </c>
      <c r="L7" s="12" t="s">
        <v>44</v>
      </c>
      <c r="M7" s="12" t="s">
        <v>50</v>
      </c>
      <c r="N7" s="17" t="s">
        <v>46</v>
      </c>
      <c r="O7" s="10" t="s">
        <v>51</v>
      </c>
      <c r="P7" s="10"/>
    </row>
    <row r="8" spans="1:89" ht="30" customHeight="1" x14ac:dyDescent="0.15">
      <c r="A8" s="10">
        <v>6</v>
      </c>
      <c r="B8" s="11" t="s">
        <v>52</v>
      </c>
      <c r="C8" s="10" t="s">
        <v>53</v>
      </c>
      <c r="D8" s="12" t="s">
        <v>40</v>
      </c>
      <c r="E8" s="12">
        <v>32</v>
      </c>
      <c r="F8" s="12" t="s">
        <v>20</v>
      </c>
      <c r="G8" s="12" t="s">
        <v>21</v>
      </c>
      <c r="H8" s="9" t="s">
        <v>41</v>
      </c>
      <c r="I8" s="9" t="s">
        <v>35</v>
      </c>
      <c r="J8" s="13" t="s">
        <v>54</v>
      </c>
      <c r="K8" s="12" t="s">
        <v>329</v>
      </c>
      <c r="L8" s="12" t="s">
        <v>44</v>
      </c>
      <c r="M8" s="12" t="s">
        <v>55</v>
      </c>
      <c r="N8" s="10" t="s">
        <v>56</v>
      </c>
      <c r="O8" s="10" t="s">
        <v>57</v>
      </c>
      <c r="P8" s="10"/>
    </row>
    <row r="9" spans="1:89" ht="30" customHeight="1" x14ac:dyDescent="0.15">
      <c r="A9" s="10">
        <v>7</v>
      </c>
      <c r="B9" s="11" t="s">
        <v>58</v>
      </c>
      <c r="C9" s="10" t="s">
        <v>59</v>
      </c>
      <c r="D9" s="12" t="s">
        <v>19</v>
      </c>
      <c r="E9" s="12">
        <v>64</v>
      </c>
      <c r="F9" s="12" t="s">
        <v>20</v>
      </c>
      <c r="G9" s="12" t="s">
        <v>21</v>
      </c>
      <c r="H9" s="9" t="s">
        <v>22</v>
      </c>
      <c r="I9" s="9" t="s">
        <v>23</v>
      </c>
      <c r="J9" s="13" t="s">
        <v>60</v>
      </c>
      <c r="K9" s="12" t="s">
        <v>61</v>
      </c>
      <c r="L9" s="12" t="s">
        <v>19</v>
      </c>
      <c r="M9" s="12" t="s">
        <v>62</v>
      </c>
      <c r="N9" s="10" t="s">
        <v>63</v>
      </c>
      <c r="O9" s="15">
        <v>43617</v>
      </c>
      <c r="P9" s="10"/>
    </row>
    <row r="10" spans="1:89" ht="30" customHeight="1" x14ac:dyDescent="0.15">
      <c r="A10" s="10">
        <v>8</v>
      </c>
      <c r="B10" s="11" t="s">
        <v>64</v>
      </c>
      <c r="C10" s="10" t="s">
        <v>65</v>
      </c>
      <c r="D10" s="12" t="s">
        <v>19</v>
      </c>
      <c r="E10" s="12">
        <v>48</v>
      </c>
      <c r="F10" s="12" t="s">
        <v>20</v>
      </c>
      <c r="G10" s="12" t="s">
        <v>21</v>
      </c>
      <c r="H10" s="9" t="s">
        <v>22</v>
      </c>
      <c r="I10" s="9" t="s">
        <v>23</v>
      </c>
      <c r="J10" s="13" t="s">
        <v>66</v>
      </c>
      <c r="K10" s="12" t="s">
        <v>67</v>
      </c>
      <c r="L10" s="12" t="s">
        <v>19</v>
      </c>
      <c r="M10" s="12" t="s">
        <v>68</v>
      </c>
      <c r="N10" s="10" t="s">
        <v>69</v>
      </c>
      <c r="O10" s="18">
        <v>44440</v>
      </c>
      <c r="P10" s="10"/>
    </row>
    <row r="11" spans="1:89" ht="30" customHeight="1" x14ac:dyDescent="0.15">
      <c r="A11" s="10">
        <v>9</v>
      </c>
      <c r="B11" s="11" t="s">
        <v>70</v>
      </c>
      <c r="C11" s="10" t="s">
        <v>71</v>
      </c>
      <c r="D11" s="12" t="s">
        <v>19</v>
      </c>
      <c r="E11" s="12">
        <v>16</v>
      </c>
      <c r="F11" s="12" t="s">
        <v>20</v>
      </c>
      <c r="G11" s="12" t="s">
        <v>21</v>
      </c>
      <c r="H11" s="9" t="s">
        <v>22</v>
      </c>
      <c r="I11" s="9" t="s">
        <v>23</v>
      </c>
      <c r="J11" s="13" t="s">
        <v>72</v>
      </c>
      <c r="K11" s="12" t="s">
        <v>73</v>
      </c>
      <c r="L11" s="12" t="s">
        <v>19</v>
      </c>
      <c r="M11" s="16" t="s">
        <v>74</v>
      </c>
      <c r="N11" s="3" t="s">
        <v>75</v>
      </c>
      <c r="O11" s="15">
        <v>44774</v>
      </c>
      <c r="P11" s="10"/>
    </row>
    <row r="12" spans="1:89" ht="30" customHeight="1" x14ac:dyDescent="0.15">
      <c r="A12" s="10">
        <v>10</v>
      </c>
      <c r="B12" s="11" t="s">
        <v>76</v>
      </c>
      <c r="C12" s="10" t="s">
        <v>77</v>
      </c>
      <c r="D12" s="12" t="s">
        <v>19</v>
      </c>
      <c r="E12" s="12">
        <v>14</v>
      </c>
      <c r="F12" s="12" t="s">
        <v>20</v>
      </c>
      <c r="G12" s="12" t="s">
        <v>21</v>
      </c>
      <c r="H12" s="9" t="s">
        <v>22</v>
      </c>
      <c r="I12" s="9" t="s">
        <v>23</v>
      </c>
      <c r="J12" s="13" t="s">
        <v>78</v>
      </c>
      <c r="K12" s="12" t="s">
        <v>79</v>
      </c>
      <c r="L12" s="12" t="s">
        <v>19</v>
      </c>
      <c r="M12" s="12" t="s">
        <v>80</v>
      </c>
      <c r="N12" s="10" t="s">
        <v>81</v>
      </c>
      <c r="O12" s="15">
        <v>44044</v>
      </c>
      <c r="P12" s="10"/>
    </row>
    <row r="13" spans="1:89" ht="30" customHeight="1" x14ac:dyDescent="0.15">
      <c r="A13" s="10">
        <v>11</v>
      </c>
      <c r="B13" s="11" t="s">
        <v>82</v>
      </c>
      <c r="C13" s="10" t="s">
        <v>83</v>
      </c>
      <c r="D13" s="12" t="s">
        <v>19</v>
      </c>
      <c r="E13" s="12">
        <v>22</v>
      </c>
      <c r="F13" s="12" t="s">
        <v>20</v>
      </c>
      <c r="G13" s="12" t="s">
        <v>21</v>
      </c>
      <c r="H13" s="9" t="s">
        <v>22</v>
      </c>
      <c r="I13" s="9" t="s">
        <v>23</v>
      </c>
      <c r="J13" s="13" t="s">
        <v>84</v>
      </c>
      <c r="K13" s="12" t="s">
        <v>83</v>
      </c>
      <c r="L13" s="12" t="s">
        <v>19</v>
      </c>
      <c r="M13" s="12" t="s">
        <v>85</v>
      </c>
      <c r="N13" s="10" t="s">
        <v>86</v>
      </c>
      <c r="O13" s="15">
        <v>42767</v>
      </c>
      <c r="P13" s="10"/>
    </row>
    <row r="14" spans="1:89" ht="30" customHeight="1" x14ac:dyDescent="0.15">
      <c r="A14" s="10">
        <v>12</v>
      </c>
      <c r="B14" s="11" t="s">
        <v>87</v>
      </c>
      <c r="C14" s="10" t="s">
        <v>88</v>
      </c>
      <c r="D14" s="12" t="s">
        <v>19</v>
      </c>
      <c r="E14" s="12">
        <v>16</v>
      </c>
      <c r="F14" s="12" t="s">
        <v>20</v>
      </c>
      <c r="G14" s="12" t="s">
        <v>21</v>
      </c>
      <c r="H14" s="9" t="s">
        <v>22</v>
      </c>
      <c r="I14" s="9" t="s">
        <v>23</v>
      </c>
      <c r="J14" s="13" t="s">
        <v>89</v>
      </c>
      <c r="K14" s="12" t="s">
        <v>90</v>
      </c>
      <c r="L14" s="12" t="s">
        <v>19</v>
      </c>
      <c r="M14" s="12" t="s">
        <v>91</v>
      </c>
      <c r="N14" s="10" t="s">
        <v>92</v>
      </c>
      <c r="O14" s="15">
        <v>43709</v>
      </c>
      <c r="P14" s="10"/>
    </row>
    <row r="15" spans="1:89" ht="30" customHeight="1" x14ac:dyDescent="0.15">
      <c r="A15" s="10">
        <v>13</v>
      </c>
      <c r="B15" s="11" t="s">
        <v>93</v>
      </c>
      <c r="C15" s="10" t="s">
        <v>94</v>
      </c>
      <c r="D15" s="12" t="s">
        <v>19</v>
      </c>
      <c r="E15" s="12">
        <v>96</v>
      </c>
      <c r="F15" s="12" t="s">
        <v>95</v>
      </c>
      <c r="G15" s="12" t="s">
        <v>21</v>
      </c>
      <c r="H15" s="9" t="s">
        <v>22</v>
      </c>
      <c r="I15" s="9" t="s">
        <v>35</v>
      </c>
      <c r="J15" s="13" t="s">
        <v>96</v>
      </c>
      <c r="K15" s="12" t="s">
        <v>97</v>
      </c>
      <c r="L15" s="12" t="s">
        <v>19</v>
      </c>
      <c r="M15" s="12" t="s">
        <v>98</v>
      </c>
      <c r="N15" s="10" t="s">
        <v>81</v>
      </c>
      <c r="O15" s="15">
        <v>43435</v>
      </c>
      <c r="P15" s="10"/>
    </row>
    <row r="16" spans="1:89" ht="30" customHeight="1" x14ac:dyDescent="0.15">
      <c r="A16" s="10">
        <v>14</v>
      </c>
      <c r="B16" s="11" t="s">
        <v>99</v>
      </c>
      <c r="C16" s="10" t="s">
        <v>100</v>
      </c>
      <c r="D16" s="12" t="s">
        <v>44</v>
      </c>
      <c r="E16" s="12">
        <v>24</v>
      </c>
      <c r="F16" s="12" t="s">
        <v>95</v>
      </c>
      <c r="G16" s="12" t="s">
        <v>21</v>
      </c>
      <c r="H16" s="9" t="s">
        <v>41</v>
      </c>
      <c r="I16" s="9" t="s">
        <v>23</v>
      </c>
      <c r="J16" s="22" t="s">
        <v>323</v>
      </c>
      <c r="K16" s="16" t="s">
        <v>324</v>
      </c>
      <c r="L16" s="12" t="s">
        <v>44</v>
      </c>
      <c r="M16" s="16" t="s">
        <v>101</v>
      </c>
      <c r="N16" s="3" t="s">
        <v>102</v>
      </c>
      <c r="O16" s="19" t="s">
        <v>103</v>
      </c>
      <c r="P16" s="10"/>
    </row>
    <row r="17" spans="1:16" ht="30" customHeight="1" x14ac:dyDescent="0.15">
      <c r="A17" s="10">
        <v>15</v>
      </c>
      <c r="B17" s="11" t="s">
        <v>104</v>
      </c>
      <c r="C17" s="10" t="s">
        <v>105</v>
      </c>
      <c r="D17" s="12" t="s">
        <v>19</v>
      </c>
      <c r="E17" s="12">
        <v>72</v>
      </c>
      <c r="F17" s="12" t="s">
        <v>95</v>
      </c>
      <c r="G17" s="12" t="s">
        <v>21</v>
      </c>
      <c r="H17" s="9" t="s">
        <v>22</v>
      </c>
      <c r="I17" s="9" t="s">
        <v>35</v>
      </c>
      <c r="J17" s="13" t="s">
        <v>106</v>
      </c>
      <c r="K17" s="12" t="s">
        <v>105</v>
      </c>
      <c r="L17" s="12" t="s">
        <v>19</v>
      </c>
      <c r="M17" s="12" t="s">
        <v>107</v>
      </c>
      <c r="N17" s="10" t="s">
        <v>81</v>
      </c>
      <c r="O17" s="15">
        <v>43466</v>
      </c>
      <c r="P17" s="10"/>
    </row>
    <row r="18" spans="1:16" ht="30" customHeight="1" x14ac:dyDescent="0.15">
      <c r="A18" s="10">
        <v>16</v>
      </c>
      <c r="B18" s="11" t="s">
        <v>108</v>
      </c>
      <c r="C18" s="10" t="s">
        <v>109</v>
      </c>
      <c r="D18" s="12" t="s">
        <v>44</v>
      </c>
      <c r="E18" s="12">
        <v>62</v>
      </c>
      <c r="F18" s="12" t="s">
        <v>95</v>
      </c>
      <c r="G18" s="12" t="s">
        <v>21</v>
      </c>
      <c r="H18" s="9" t="s">
        <v>41</v>
      </c>
      <c r="I18" s="9" t="s">
        <v>35</v>
      </c>
      <c r="J18" s="23" t="s">
        <v>325</v>
      </c>
      <c r="K18" s="12" t="s">
        <v>330</v>
      </c>
      <c r="L18" s="12" t="s">
        <v>44</v>
      </c>
      <c r="M18" s="12" t="s">
        <v>110</v>
      </c>
      <c r="N18" s="10" t="s">
        <v>111</v>
      </c>
      <c r="O18" s="15" t="s">
        <v>112</v>
      </c>
      <c r="P18" s="10"/>
    </row>
    <row r="19" spans="1:16" ht="30" customHeight="1" x14ac:dyDescent="0.15">
      <c r="A19" s="10">
        <v>17</v>
      </c>
      <c r="B19" s="11" t="s">
        <v>113</v>
      </c>
      <c r="C19" s="10" t="s">
        <v>114</v>
      </c>
      <c r="D19" s="12" t="s">
        <v>19</v>
      </c>
      <c r="E19" s="12">
        <v>54</v>
      </c>
      <c r="F19" s="12" t="s">
        <v>95</v>
      </c>
      <c r="G19" s="12" t="s">
        <v>21</v>
      </c>
      <c r="H19" s="9" t="s">
        <v>22</v>
      </c>
      <c r="I19" s="9" t="s">
        <v>35</v>
      </c>
      <c r="J19" s="13" t="s">
        <v>115</v>
      </c>
      <c r="K19" s="12" t="s">
        <v>116</v>
      </c>
      <c r="L19" s="12" t="s">
        <v>19</v>
      </c>
      <c r="M19" s="12" t="s">
        <v>117</v>
      </c>
      <c r="N19" s="10" t="s">
        <v>81</v>
      </c>
      <c r="O19" s="15">
        <v>43435</v>
      </c>
      <c r="P19" s="10"/>
    </row>
    <row r="20" spans="1:16" ht="30" customHeight="1" x14ac:dyDescent="0.15">
      <c r="A20" s="10">
        <v>18</v>
      </c>
      <c r="B20" s="11" t="s">
        <v>118</v>
      </c>
      <c r="C20" s="10" t="s">
        <v>119</v>
      </c>
      <c r="D20" s="12" t="s">
        <v>44</v>
      </c>
      <c r="E20" s="12">
        <v>30</v>
      </c>
      <c r="F20" s="12" t="s">
        <v>95</v>
      </c>
      <c r="G20" s="12" t="s">
        <v>21</v>
      </c>
      <c r="H20" s="9" t="s">
        <v>41</v>
      </c>
      <c r="I20" s="9" t="s">
        <v>23</v>
      </c>
      <c r="J20" s="13" t="s">
        <v>120</v>
      </c>
      <c r="K20" s="12" t="s">
        <v>331</v>
      </c>
      <c r="L20" s="12" t="s">
        <v>44</v>
      </c>
      <c r="M20" s="12" t="s">
        <v>121</v>
      </c>
      <c r="N20" s="10" t="s">
        <v>122</v>
      </c>
      <c r="O20" s="15" t="s">
        <v>123</v>
      </c>
      <c r="P20" s="10"/>
    </row>
    <row r="21" spans="1:16" ht="30" customHeight="1" x14ac:dyDescent="0.15">
      <c r="A21" s="10">
        <v>19</v>
      </c>
      <c r="B21" s="11" t="s">
        <v>124</v>
      </c>
      <c r="C21" s="10" t="s">
        <v>125</v>
      </c>
      <c r="D21" s="12" t="s">
        <v>19</v>
      </c>
      <c r="E21" s="12">
        <v>36</v>
      </c>
      <c r="F21" s="12" t="s">
        <v>95</v>
      </c>
      <c r="G21" s="12" t="s">
        <v>21</v>
      </c>
      <c r="H21" s="9" t="s">
        <v>22</v>
      </c>
      <c r="I21" s="9" t="s">
        <v>23</v>
      </c>
      <c r="J21" s="13" t="s">
        <v>126</v>
      </c>
      <c r="K21" s="12" t="s">
        <v>127</v>
      </c>
      <c r="L21" s="12" t="s">
        <v>19</v>
      </c>
      <c r="M21" s="12" t="s">
        <v>128</v>
      </c>
      <c r="N21" s="10" t="s">
        <v>81</v>
      </c>
      <c r="O21" s="15">
        <v>43497</v>
      </c>
      <c r="P21" s="10"/>
    </row>
    <row r="22" spans="1:16" ht="30" customHeight="1" x14ac:dyDescent="0.15">
      <c r="A22" s="10">
        <v>20</v>
      </c>
      <c r="B22" s="11" t="s">
        <v>129</v>
      </c>
      <c r="C22" s="10" t="s">
        <v>130</v>
      </c>
      <c r="D22" s="12" t="s">
        <v>44</v>
      </c>
      <c r="E22" s="12">
        <v>16</v>
      </c>
      <c r="F22" s="12" t="s">
        <v>95</v>
      </c>
      <c r="G22" s="12" t="s">
        <v>21</v>
      </c>
      <c r="H22" s="9" t="s">
        <v>41</v>
      </c>
      <c r="I22" s="9" t="s">
        <v>23</v>
      </c>
      <c r="J22" s="13" t="s">
        <v>131</v>
      </c>
      <c r="K22" s="12" t="s">
        <v>332</v>
      </c>
      <c r="L22" s="12" t="s">
        <v>44</v>
      </c>
      <c r="M22" s="12" t="s">
        <v>132</v>
      </c>
      <c r="N22" s="10" t="s">
        <v>133</v>
      </c>
      <c r="O22" s="10" t="s">
        <v>57</v>
      </c>
      <c r="P22" s="10"/>
    </row>
    <row r="23" spans="1:16" ht="30" customHeight="1" x14ac:dyDescent="0.15">
      <c r="A23" s="10">
        <v>21</v>
      </c>
      <c r="B23" s="11" t="s">
        <v>134</v>
      </c>
      <c r="C23" s="10" t="s">
        <v>135</v>
      </c>
      <c r="D23" s="12" t="s">
        <v>19</v>
      </c>
      <c r="E23" s="12">
        <v>102</v>
      </c>
      <c r="F23" s="12" t="s">
        <v>136</v>
      </c>
      <c r="G23" s="12" t="s">
        <v>21</v>
      </c>
      <c r="H23" s="9" t="s">
        <v>22</v>
      </c>
      <c r="I23" s="9" t="s">
        <v>35</v>
      </c>
      <c r="J23" s="13" t="s">
        <v>137</v>
      </c>
      <c r="K23" s="12" t="s">
        <v>135</v>
      </c>
      <c r="L23" s="12" t="s">
        <v>19</v>
      </c>
      <c r="M23" s="12" t="s">
        <v>138</v>
      </c>
      <c r="N23" s="10" t="s">
        <v>81</v>
      </c>
      <c r="O23" s="15">
        <v>44470</v>
      </c>
      <c r="P23" s="10"/>
    </row>
    <row r="24" spans="1:16" ht="30" customHeight="1" x14ac:dyDescent="0.15">
      <c r="A24" s="10">
        <v>22</v>
      </c>
      <c r="B24" s="11" t="s">
        <v>139</v>
      </c>
      <c r="C24" s="10" t="s">
        <v>140</v>
      </c>
      <c r="D24" s="12" t="s">
        <v>19</v>
      </c>
      <c r="E24" s="12">
        <v>72</v>
      </c>
      <c r="F24" s="12" t="s">
        <v>136</v>
      </c>
      <c r="G24" s="12" t="s">
        <v>21</v>
      </c>
      <c r="H24" s="9" t="s">
        <v>22</v>
      </c>
      <c r="I24" s="9" t="s">
        <v>35</v>
      </c>
      <c r="J24" s="13" t="s">
        <v>141</v>
      </c>
      <c r="K24" s="12" t="s">
        <v>140</v>
      </c>
      <c r="L24" s="12" t="s">
        <v>19</v>
      </c>
      <c r="M24" s="12" t="s">
        <v>142</v>
      </c>
      <c r="N24" s="10" t="s">
        <v>81</v>
      </c>
      <c r="O24" s="15">
        <v>43466</v>
      </c>
      <c r="P24" s="10"/>
    </row>
    <row r="25" spans="1:16" ht="30" customHeight="1" x14ac:dyDescent="0.15">
      <c r="A25" s="10">
        <v>23</v>
      </c>
      <c r="B25" s="11" t="s">
        <v>143</v>
      </c>
      <c r="C25" s="10" t="s">
        <v>144</v>
      </c>
      <c r="D25" s="12" t="s">
        <v>19</v>
      </c>
      <c r="E25" s="12">
        <v>26</v>
      </c>
      <c r="F25" s="12" t="s">
        <v>136</v>
      </c>
      <c r="G25" s="12" t="s">
        <v>21</v>
      </c>
      <c r="H25" s="9" t="s">
        <v>22</v>
      </c>
      <c r="I25" s="9" t="s">
        <v>23</v>
      </c>
      <c r="J25" s="13" t="s">
        <v>145</v>
      </c>
      <c r="K25" s="12" t="s">
        <v>144</v>
      </c>
      <c r="L25" s="12" t="s">
        <v>19</v>
      </c>
      <c r="M25" s="12" t="s">
        <v>146</v>
      </c>
      <c r="N25" s="10" t="s">
        <v>81</v>
      </c>
      <c r="O25" s="15">
        <v>44105</v>
      </c>
      <c r="P25" s="10"/>
    </row>
    <row r="26" spans="1:16" ht="30" customHeight="1" x14ac:dyDescent="0.15">
      <c r="A26" s="10">
        <v>24</v>
      </c>
      <c r="B26" s="11" t="s">
        <v>147</v>
      </c>
      <c r="C26" s="10" t="s">
        <v>148</v>
      </c>
      <c r="D26" s="12" t="s">
        <v>19</v>
      </c>
      <c r="E26" s="12">
        <v>20</v>
      </c>
      <c r="F26" s="12" t="s">
        <v>136</v>
      </c>
      <c r="G26" s="12" t="s">
        <v>21</v>
      </c>
      <c r="H26" s="9" t="s">
        <v>22</v>
      </c>
      <c r="I26" s="9" t="s">
        <v>23</v>
      </c>
      <c r="J26" s="13" t="s">
        <v>149</v>
      </c>
      <c r="K26" s="12" t="s">
        <v>148</v>
      </c>
      <c r="L26" s="12" t="s">
        <v>19</v>
      </c>
      <c r="M26" s="12" t="s">
        <v>150</v>
      </c>
      <c r="N26" s="10" t="s">
        <v>151</v>
      </c>
      <c r="O26" s="15">
        <v>43497</v>
      </c>
      <c r="P26" s="10"/>
    </row>
    <row r="27" spans="1:16" ht="30" customHeight="1" x14ac:dyDescent="0.15">
      <c r="A27" s="10">
        <v>25</v>
      </c>
      <c r="B27" s="11" t="s">
        <v>152</v>
      </c>
      <c r="C27" s="10" t="s">
        <v>153</v>
      </c>
      <c r="D27" s="12" t="s">
        <v>44</v>
      </c>
      <c r="E27" s="12">
        <v>54</v>
      </c>
      <c r="F27" s="12" t="s">
        <v>136</v>
      </c>
      <c r="G27" s="12" t="s">
        <v>21</v>
      </c>
      <c r="H27" s="9" t="s">
        <v>41</v>
      </c>
      <c r="I27" s="9" t="s">
        <v>35</v>
      </c>
      <c r="J27" s="23" t="s">
        <v>327</v>
      </c>
      <c r="K27" s="12" t="s">
        <v>333</v>
      </c>
      <c r="L27" s="12" t="s">
        <v>44</v>
      </c>
      <c r="M27" s="12" t="s">
        <v>154</v>
      </c>
      <c r="N27" s="10" t="s">
        <v>155</v>
      </c>
      <c r="O27" s="10" t="s">
        <v>156</v>
      </c>
      <c r="P27" s="10"/>
    </row>
    <row r="28" spans="1:16" ht="30" customHeight="1" x14ac:dyDescent="0.15">
      <c r="A28" s="10">
        <v>26</v>
      </c>
      <c r="B28" s="11" t="s">
        <v>157</v>
      </c>
      <c r="C28" s="10" t="s">
        <v>158</v>
      </c>
      <c r="D28" s="12" t="s">
        <v>44</v>
      </c>
      <c r="E28" s="12">
        <v>64</v>
      </c>
      <c r="F28" s="12" t="s">
        <v>136</v>
      </c>
      <c r="G28" s="12" t="s">
        <v>21</v>
      </c>
      <c r="H28" s="9" t="s">
        <v>41</v>
      </c>
      <c r="I28" s="9" t="s">
        <v>35</v>
      </c>
      <c r="J28" s="23" t="s">
        <v>326</v>
      </c>
      <c r="K28" s="12" t="s">
        <v>159</v>
      </c>
      <c r="L28" s="12" t="s">
        <v>44</v>
      </c>
      <c r="M28" s="12" t="s">
        <v>160</v>
      </c>
      <c r="N28" s="10" t="s">
        <v>111</v>
      </c>
      <c r="O28" s="10" t="s">
        <v>123</v>
      </c>
      <c r="P28" s="10"/>
    </row>
    <row r="29" spans="1:16" ht="30" customHeight="1" x14ac:dyDescent="0.15">
      <c r="A29" s="10">
        <v>27</v>
      </c>
      <c r="B29" s="11" t="s">
        <v>161</v>
      </c>
      <c r="C29" s="10" t="s">
        <v>162</v>
      </c>
      <c r="D29" s="12" t="s">
        <v>19</v>
      </c>
      <c r="E29" s="12">
        <v>96</v>
      </c>
      <c r="F29" s="12" t="s">
        <v>136</v>
      </c>
      <c r="G29" s="12" t="s">
        <v>21</v>
      </c>
      <c r="H29" s="9" t="s">
        <v>22</v>
      </c>
      <c r="I29" s="9" t="s">
        <v>35</v>
      </c>
      <c r="J29" s="13" t="s">
        <v>163</v>
      </c>
      <c r="K29" s="12" t="s">
        <v>162</v>
      </c>
      <c r="L29" s="12" t="s">
        <v>19</v>
      </c>
      <c r="M29" s="12" t="s">
        <v>164</v>
      </c>
      <c r="N29" s="10" t="s">
        <v>81</v>
      </c>
      <c r="O29" s="15">
        <v>43435</v>
      </c>
      <c r="P29" s="10"/>
    </row>
    <row r="30" spans="1:16" ht="30" customHeight="1" x14ac:dyDescent="0.15">
      <c r="A30" s="10">
        <v>28</v>
      </c>
      <c r="B30" s="11" t="s">
        <v>165</v>
      </c>
      <c r="C30" s="10" t="s">
        <v>166</v>
      </c>
      <c r="D30" s="12" t="s">
        <v>19</v>
      </c>
      <c r="E30" s="12">
        <v>54</v>
      </c>
      <c r="F30" s="12" t="s">
        <v>136</v>
      </c>
      <c r="G30" s="12" t="s">
        <v>21</v>
      </c>
      <c r="H30" s="9" t="s">
        <v>22</v>
      </c>
      <c r="I30" s="9" t="s">
        <v>35</v>
      </c>
      <c r="J30" s="13" t="s">
        <v>167</v>
      </c>
      <c r="K30" s="12" t="s">
        <v>166</v>
      </c>
      <c r="L30" s="12" t="s">
        <v>19</v>
      </c>
      <c r="M30" s="12" t="s">
        <v>168</v>
      </c>
      <c r="N30" s="10" t="s">
        <v>81</v>
      </c>
      <c r="O30" s="15">
        <v>43466</v>
      </c>
      <c r="P30" s="10"/>
    </row>
    <row r="31" spans="1:16" ht="30" customHeight="1" x14ac:dyDescent="0.15">
      <c r="A31" s="10">
        <v>29</v>
      </c>
      <c r="B31" s="11" t="s">
        <v>169</v>
      </c>
      <c r="C31" s="10" t="s">
        <v>170</v>
      </c>
      <c r="D31" s="12" t="s">
        <v>44</v>
      </c>
      <c r="E31" s="12">
        <v>44</v>
      </c>
      <c r="F31" s="12" t="s">
        <v>136</v>
      </c>
      <c r="G31" s="12" t="s">
        <v>21</v>
      </c>
      <c r="H31" s="9" t="s">
        <v>41</v>
      </c>
      <c r="I31" s="9" t="s">
        <v>35</v>
      </c>
      <c r="J31" s="22" t="s">
        <v>321</v>
      </c>
      <c r="K31" s="12" t="s">
        <v>171</v>
      </c>
      <c r="L31" s="12" t="s">
        <v>44</v>
      </c>
      <c r="M31" s="12" t="s">
        <v>172</v>
      </c>
      <c r="N31" s="10" t="s">
        <v>173</v>
      </c>
      <c r="O31" s="15">
        <v>41913</v>
      </c>
      <c r="P31" s="10"/>
    </row>
    <row r="32" spans="1:16" ht="30" customHeight="1" x14ac:dyDescent="0.15">
      <c r="A32" s="10">
        <v>30</v>
      </c>
      <c r="B32" s="11" t="s">
        <v>174</v>
      </c>
      <c r="C32" s="10" t="s">
        <v>175</v>
      </c>
      <c r="D32" s="12" t="s">
        <v>19</v>
      </c>
      <c r="E32" s="12">
        <v>26</v>
      </c>
      <c r="F32" s="12" t="s">
        <v>176</v>
      </c>
      <c r="G32" s="12" t="s">
        <v>21</v>
      </c>
      <c r="H32" s="9" t="s">
        <v>22</v>
      </c>
      <c r="I32" s="9" t="s">
        <v>23</v>
      </c>
      <c r="J32" s="13" t="s">
        <v>177</v>
      </c>
      <c r="K32" s="12" t="s">
        <v>178</v>
      </c>
      <c r="L32" s="12" t="s">
        <v>19</v>
      </c>
      <c r="M32" s="12" t="s">
        <v>179</v>
      </c>
      <c r="N32" s="10" t="s">
        <v>81</v>
      </c>
      <c r="O32" s="15">
        <v>43678</v>
      </c>
      <c r="P32" s="10"/>
    </row>
    <row r="33" spans="1:16" ht="30" customHeight="1" x14ac:dyDescent="0.15">
      <c r="A33" s="10">
        <v>31</v>
      </c>
      <c r="B33" s="11" t="s">
        <v>180</v>
      </c>
      <c r="C33" s="10" t="s">
        <v>181</v>
      </c>
      <c r="D33" s="12" t="s">
        <v>19</v>
      </c>
      <c r="E33" s="12">
        <v>18</v>
      </c>
      <c r="F33" s="12" t="s">
        <v>176</v>
      </c>
      <c r="G33" s="12" t="s">
        <v>21</v>
      </c>
      <c r="H33" s="9" t="s">
        <v>22</v>
      </c>
      <c r="I33" s="9" t="s">
        <v>23</v>
      </c>
      <c r="J33" s="13" t="s">
        <v>182</v>
      </c>
      <c r="K33" s="12" t="s">
        <v>181</v>
      </c>
      <c r="L33" s="12" t="s">
        <v>19</v>
      </c>
      <c r="M33" s="12" t="s">
        <v>183</v>
      </c>
      <c r="N33" s="10" t="s">
        <v>81</v>
      </c>
      <c r="O33" s="15">
        <v>41852</v>
      </c>
      <c r="P33" s="10"/>
    </row>
    <row r="34" spans="1:16" ht="30" customHeight="1" x14ac:dyDescent="0.15">
      <c r="A34" s="10">
        <v>32</v>
      </c>
      <c r="B34" s="11" t="s">
        <v>184</v>
      </c>
      <c r="C34" s="10" t="s">
        <v>185</v>
      </c>
      <c r="D34" s="12" t="s">
        <v>19</v>
      </c>
      <c r="E34" s="12">
        <v>18</v>
      </c>
      <c r="F34" s="12" t="s">
        <v>176</v>
      </c>
      <c r="G34" s="12" t="s">
        <v>21</v>
      </c>
      <c r="H34" s="9" t="s">
        <v>22</v>
      </c>
      <c r="I34" s="9" t="s">
        <v>23</v>
      </c>
      <c r="J34" s="13" t="s">
        <v>186</v>
      </c>
      <c r="K34" s="10" t="s">
        <v>185</v>
      </c>
      <c r="L34" s="12" t="s">
        <v>19</v>
      </c>
      <c r="M34" s="12" t="s">
        <v>187</v>
      </c>
      <c r="N34" s="10" t="s">
        <v>188</v>
      </c>
      <c r="O34" s="15">
        <v>43891</v>
      </c>
      <c r="P34" s="10"/>
    </row>
    <row r="35" spans="1:16" ht="30" customHeight="1" x14ac:dyDescent="0.15">
      <c r="A35" s="10">
        <v>33</v>
      </c>
      <c r="B35" s="11" t="s">
        <v>189</v>
      </c>
      <c r="C35" s="10" t="s">
        <v>190</v>
      </c>
      <c r="D35" s="12" t="s">
        <v>19</v>
      </c>
      <c r="E35" s="12">
        <v>18</v>
      </c>
      <c r="F35" s="12" t="s">
        <v>176</v>
      </c>
      <c r="G35" s="12" t="s">
        <v>21</v>
      </c>
      <c r="H35" s="9" t="s">
        <v>22</v>
      </c>
      <c r="I35" s="9" t="s">
        <v>23</v>
      </c>
      <c r="J35" s="13" t="s">
        <v>191</v>
      </c>
      <c r="K35" s="12" t="s">
        <v>190</v>
      </c>
      <c r="L35" s="12" t="s">
        <v>19</v>
      </c>
      <c r="M35" s="12" t="s">
        <v>192</v>
      </c>
      <c r="N35" s="10" t="s">
        <v>81</v>
      </c>
      <c r="O35" s="15">
        <v>43525</v>
      </c>
      <c r="P35" s="10"/>
    </row>
    <row r="36" spans="1:16" ht="30" customHeight="1" x14ac:dyDescent="0.15">
      <c r="A36" s="10">
        <v>34</v>
      </c>
      <c r="B36" s="11" t="s">
        <v>193</v>
      </c>
      <c r="C36" s="10" t="s">
        <v>194</v>
      </c>
      <c r="D36" s="12" t="s">
        <v>19</v>
      </c>
      <c r="E36" s="12">
        <v>18</v>
      </c>
      <c r="F36" s="12" t="s">
        <v>176</v>
      </c>
      <c r="G36" s="12" t="s">
        <v>21</v>
      </c>
      <c r="H36" s="9" t="s">
        <v>22</v>
      </c>
      <c r="I36" s="9" t="s">
        <v>23</v>
      </c>
      <c r="J36" s="13" t="s">
        <v>195</v>
      </c>
      <c r="K36" s="12" t="s">
        <v>194</v>
      </c>
      <c r="L36" s="12" t="s">
        <v>19</v>
      </c>
      <c r="M36" s="12" t="s">
        <v>196</v>
      </c>
      <c r="N36" s="10" t="s">
        <v>81</v>
      </c>
      <c r="O36" s="15">
        <v>43435</v>
      </c>
      <c r="P36" s="10"/>
    </row>
    <row r="37" spans="1:16" ht="30" customHeight="1" x14ac:dyDescent="0.15">
      <c r="A37" s="10">
        <v>35</v>
      </c>
      <c r="B37" s="11" t="s">
        <v>197</v>
      </c>
      <c r="C37" s="10" t="s">
        <v>198</v>
      </c>
      <c r="D37" s="12" t="s">
        <v>44</v>
      </c>
      <c r="E37" s="12">
        <v>16</v>
      </c>
      <c r="F37" s="12" t="s">
        <v>176</v>
      </c>
      <c r="G37" s="12" t="s">
        <v>21</v>
      </c>
      <c r="H37" s="9" t="s">
        <v>41</v>
      </c>
      <c r="I37" s="9" t="s">
        <v>23</v>
      </c>
      <c r="J37" s="13" t="s">
        <v>199</v>
      </c>
      <c r="K37" s="10" t="s">
        <v>200</v>
      </c>
      <c r="L37" s="12" t="s">
        <v>44</v>
      </c>
      <c r="M37" s="12" t="s">
        <v>201</v>
      </c>
      <c r="N37" s="10" t="s">
        <v>56</v>
      </c>
      <c r="O37" s="15" t="s">
        <v>202</v>
      </c>
      <c r="P37" s="10"/>
    </row>
    <row r="38" spans="1:16" ht="30" customHeight="1" x14ac:dyDescent="0.15">
      <c r="A38" s="10">
        <v>36</v>
      </c>
      <c r="B38" s="11" t="s">
        <v>203</v>
      </c>
      <c r="C38" s="10" t="s">
        <v>204</v>
      </c>
      <c r="D38" s="12" t="s">
        <v>44</v>
      </c>
      <c r="E38" s="12">
        <v>16</v>
      </c>
      <c r="F38" s="12" t="s">
        <v>176</v>
      </c>
      <c r="G38" s="12" t="s">
        <v>21</v>
      </c>
      <c r="H38" s="9" t="s">
        <v>41</v>
      </c>
      <c r="I38" s="9" t="s">
        <v>23</v>
      </c>
      <c r="J38" s="22" t="s">
        <v>322</v>
      </c>
      <c r="K38" s="12" t="s">
        <v>205</v>
      </c>
      <c r="L38" s="12" t="s">
        <v>44</v>
      </c>
      <c r="M38" s="12" t="s">
        <v>206</v>
      </c>
      <c r="N38" s="10" t="s">
        <v>207</v>
      </c>
      <c r="O38" s="15">
        <v>44197</v>
      </c>
      <c r="P38" s="10"/>
    </row>
    <row r="39" spans="1:16" ht="30" customHeight="1" x14ac:dyDescent="0.15">
      <c r="A39" s="10">
        <v>37</v>
      </c>
      <c r="B39" s="11" t="s">
        <v>208</v>
      </c>
      <c r="C39" s="10" t="s">
        <v>209</v>
      </c>
      <c r="D39" s="12" t="s">
        <v>19</v>
      </c>
      <c r="E39" s="12">
        <v>32</v>
      </c>
      <c r="F39" s="12" t="s">
        <v>176</v>
      </c>
      <c r="G39" s="12" t="s">
        <v>21</v>
      </c>
      <c r="H39" s="9" t="s">
        <v>22</v>
      </c>
      <c r="I39" s="9" t="s">
        <v>23</v>
      </c>
      <c r="J39" s="13" t="s">
        <v>210</v>
      </c>
      <c r="K39" s="12" t="s">
        <v>211</v>
      </c>
      <c r="L39" s="12" t="s">
        <v>19</v>
      </c>
      <c r="M39" s="12" t="s">
        <v>212</v>
      </c>
      <c r="N39" s="10" t="s">
        <v>81</v>
      </c>
      <c r="O39" s="15">
        <v>44743</v>
      </c>
      <c r="P39" s="10"/>
    </row>
    <row r="40" spans="1:16" ht="30" customHeight="1" x14ac:dyDescent="0.15">
      <c r="A40" s="10">
        <v>38</v>
      </c>
      <c r="B40" s="11" t="s">
        <v>213</v>
      </c>
      <c r="C40" s="10" t="s">
        <v>214</v>
      </c>
      <c r="D40" s="12" t="s">
        <v>19</v>
      </c>
      <c r="E40" s="12">
        <v>16</v>
      </c>
      <c r="F40" s="12" t="s">
        <v>176</v>
      </c>
      <c r="G40" s="12" t="s">
        <v>21</v>
      </c>
      <c r="H40" s="9" t="s">
        <v>22</v>
      </c>
      <c r="I40" s="9" t="s">
        <v>23</v>
      </c>
      <c r="J40" s="13" t="s">
        <v>215</v>
      </c>
      <c r="K40" s="10" t="s">
        <v>214</v>
      </c>
      <c r="L40" s="12" t="s">
        <v>19</v>
      </c>
      <c r="M40" s="12" t="s">
        <v>216</v>
      </c>
      <c r="N40" s="10" t="s">
        <v>81</v>
      </c>
      <c r="O40" s="15">
        <v>43374</v>
      </c>
      <c r="P40" s="10"/>
    </row>
    <row r="41" spans="1:16" ht="30" customHeight="1" x14ac:dyDescent="0.15">
      <c r="A41" s="10">
        <v>39</v>
      </c>
      <c r="B41" s="11" t="s">
        <v>217</v>
      </c>
      <c r="C41" s="10" t="s">
        <v>218</v>
      </c>
      <c r="D41" s="12" t="s">
        <v>19</v>
      </c>
      <c r="E41" s="12">
        <v>16</v>
      </c>
      <c r="F41" s="12" t="s">
        <v>20</v>
      </c>
      <c r="G41" s="12" t="s">
        <v>219</v>
      </c>
      <c r="H41" s="9" t="s">
        <v>22</v>
      </c>
      <c r="I41" s="9" t="s">
        <v>23</v>
      </c>
      <c r="J41" s="13" t="s">
        <v>220</v>
      </c>
      <c r="K41" s="12"/>
      <c r="L41" s="12" t="s">
        <v>19</v>
      </c>
      <c r="M41" s="12"/>
      <c r="N41" s="10"/>
      <c r="O41" s="10"/>
      <c r="P41" s="10"/>
    </row>
    <row r="42" spans="1:16" ht="30" customHeight="1" x14ac:dyDescent="0.15">
      <c r="A42" s="10">
        <v>40</v>
      </c>
      <c r="B42" s="11" t="s">
        <v>221</v>
      </c>
      <c r="C42" s="10" t="s">
        <v>222</v>
      </c>
      <c r="D42" s="12" t="s">
        <v>19</v>
      </c>
      <c r="E42" s="12">
        <v>30</v>
      </c>
      <c r="F42" s="12" t="s">
        <v>20</v>
      </c>
      <c r="G42" s="12" t="s">
        <v>219</v>
      </c>
      <c r="H42" s="9" t="s">
        <v>22</v>
      </c>
      <c r="I42" s="9" t="s">
        <v>23</v>
      </c>
      <c r="J42" s="13" t="s">
        <v>220</v>
      </c>
      <c r="K42" s="12"/>
      <c r="L42" s="12" t="s">
        <v>19</v>
      </c>
      <c r="M42" s="12"/>
      <c r="N42" s="10"/>
      <c r="O42" s="10"/>
      <c r="P42" s="10"/>
    </row>
    <row r="43" spans="1:16" ht="30" customHeight="1" x14ac:dyDescent="0.15">
      <c r="A43" s="10">
        <v>41</v>
      </c>
      <c r="B43" s="11" t="s">
        <v>223</v>
      </c>
      <c r="C43" s="10" t="s">
        <v>224</v>
      </c>
      <c r="D43" s="12" t="s">
        <v>19</v>
      </c>
      <c r="E43" s="12">
        <v>48</v>
      </c>
      <c r="F43" s="12" t="s">
        <v>20</v>
      </c>
      <c r="G43" s="12" t="s">
        <v>219</v>
      </c>
      <c r="H43" s="9" t="s">
        <v>22</v>
      </c>
      <c r="I43" s="9" t="s">
        <v>23</v>
      </c>
      <c r="J43" s="13" t="s">
        <v>220</v>
      </c>
      <c r="K43" s="12"/>
      <c r="L43" s="12" t="s">
        <v>19</v>
      </c>
      <c r="M43" s="12"/>
      <c r="N43" s="10"/>
      <c r="O43" s="10"/>
      <c r="P43" s="10"/>
    </row>
    <row r="44" spans="1:16" ht="30" customHeight="1" x14ac:dyDescent="0.15">
      <c r="A44" s="10">
        <v>42</v>
      </c>
      <c r="B44" s="11" t="s">
        <v>225</v>
      </c>
      <c r="C44" s="10" t="s">
        <v>226</v>
      </c>
      <c r="D44" s="12" t="s">
        <v>19</v>
      </c>
      <c r="E44" s="12">
        <v>30</v>
      </c>
      <c r="F44" s="12" t="s">
        <v>20</v>
      </c>
      <c r="G44" s="12" t="s">
        <v>219</v>
      </c>
      <c r="H44" s="9" t="s">
        <v>22</v>
      </c>
      <c r="I44" s="9" t="s">
        <v>23</v>
      </c>
      <c r="J44" s="13" t="s">
        <v>220</v>
      </c>
      <c r="K44" s="12"/>
      <c r="L44" s="12" t="s">
        <v>19</v>
      </c>
      <c r="M44" s="12"/>
      <c r="N44" s="10"/>
      <c r="O44" s="10"/>
      <c r="P44" s="10"/>
    </row>
    <row r="45" spans="1:16" ht="30" customHeight="1" x14ac:dyDescent="0.15">
      <c r="A45" s="10">
        <v>43</v>
      </c>
      <c r="B45" s="11" t="s">
        <v>227</v>
      </c>
      <c r="C45" s="10" t="s">
        <v>228</v>
      </c>
      <c r="D45" s="12" t="s">
        <v>19</v>
      </c>
      <c r="E45" s="12">
        <v>8</v>
      </c>
      <c r="F45" s="12" t="s">
        <v>20</v>
      </c>
      <c r="G45" s="12" t="s">
        <v>219</v>
      </c>
      <c r="H45" s="9" t="s">
        <v>22</v>
      </c>
      <c r="I45" s="9" t="s">
        <v>23</v>
      </c>
      <c r="J45" s="13" t="s">
        <v>220</v>
      </c>
      <c r="K45" s="12"/>
      <c r="L45" s="12" t="s">
        <v>19</v>
      </c>
      <c r="M45" s="12"/>
      <c r="N45" s="10"/>
      <c r="O45" s="10"/>
      <c r="P45" s="10"/>
    </row>
    <row r="46" spans="1:16" ht="30" customHeight="1" x14ac:dyDescent="0.15">
      <c r="A46" s="10">
        <v>44</v>
      </c>
      <c r="B46" s="11" t="s">
        <v>229</v>
      </c>
      <c r="C46" s="10" t="s">
        <v>230</v>
      </c>
      <c r="D46" s="12" t="s">
        <v>19</v>
      </c>
      <c r="E46" s="12">
        <v>28</v>
      </c>
      <c r="F46" s="12" t="s">
        <v>20</v>
      </c>
      <c r="G46" s="12" t="s">
        <v>219</v>
      </c>
      <c r="H46" s="9" t="s">
        <v>22</v>
      </c>
      <c r="I46" s="9" t="s">
        <v>23</v>
      </c>
      <c r="J46" s="13" t="s">
        <v>220</v>
      </c>
      <c r="K46" s="12"/>
      <c r="L46" s="12" t="s">
        <v>19</v>
      </c>
      <c r="M46" s="12"/>
      <c r="N46" s="10"/>
      <c r="O46" s="10"/>
      <c r="P46" s="10"/>
    </row>
    <row r="47" spans="1:16" ht="30" customHeight="1" x14ac:dyDescent="0.15">
      <c r="A47" s="10">
        <v>45</v>
      </c>
      <c r="B47" s="11" t="s">
        <v>231</v>
      </c>
      <c r="C47" s="10" t="s">
        <v>232</v>
      </c>
      <c r="D47" s="12" t="s">
        <v>19</v>
      </c>
      <c r="E47" s="12">
        <v>28</v>
      </c>
      <c r="F47" s="12" t="s">
        <v>20</v>
      </c>
      <c r="G47" s="12" t="s">
        <v>219</v>
      </c>
      <c r="H47" s="9" t="s">
        <v>22</v>
      </c>
      <c r="I47" s="9" t="s">
        <v>23</v>
      </c>
      <c r="J47" s="13" t="s">
        <v>220</v>
      </c>
      <c r="K47" s="12"/>
      <c r="L47" s="12" t="s">
        <v>19</v>
      </c>
      <c r="M47" s="12"/>
      <c r="N47" s="10"/>
      <c r="O47" s="10"/>
      <c r="P47" s="10"/>
    </row>
    <row r="48" spans="1:16" ht="30" customHeight="1" x14ac:dyDescent="0.15">
      <c r="A48" s="10">
        <v>46</v>
      </c>
      <c r="B48" s="11" t="s">
        <v>233</v>
      </c>
      <c r="C48" s="10" t="s">
        <v>234</v>
      </c>
      <c r="D48" s="12" t="s">
        <v>19</v>
      </c>
      <c r="E48" s="12">
        <v>16</v>
      </c>
      <c r="F48" s="12" t="s">
        <v>20</v>
      </c>
      <c r="G48" s="12" t="s">
        <v>219</v>
      </c>
      <c r="H48" s="9" t="s">
        <v>22</v>
      </c>
      <c r="I48" s="9" t="s">
        <v>23</v>
      </c>
      <c r="J48" s="13" t="s">
        <v>220</v>
      </c>
      <c r="K48" s="12"/>
      <c r="L48" s="12" t="s">
        <v>19</v>
      </c>
      <c r="M48" s="12"/>
      <c r="N48" s="10"/>
      <c r="O48" s="10"/>
      <c r="P48" s="10"/>
    </row>
    <row r="49" spans="1:16" ht="30" customHeight="1" x14ac:dyDescent="0.15">
      <c r="A49" s="10">
        <v>47</v>
      </c>
      <c r="B49" s="11" t="s">
        <v>235</v>
      </c>
      <c r="C49" s="10" t="s">
        <v>236</v>
      </c>
      <c r="D49" s="12" t="s">
        <v>19</v>
      </c>
      <c r="E49" s="12">
        <v>22</v>
      </c>
      <c r="F49" s="12" t="s">
        <v>20</v>
      </c>
      <c r="G49" s="12" t="s">
        <v>219</v>
      </c>
      <c r="H49" s="9" t="s">
        <v>22</v>
      </c>
      <c r="I49" s="9" t="s">
        <v>23</v>
      </c>
      <c r="J49" s="13" t="s">
        <v>220</v>
      </c>
      <c r="K49" s="12"/>
      <c r="L49" s="12" t="s">
        <v>19</v>
      </c>
      <c r="M49" s="12"/>
      <c r="N49" s="10"/>
      <c r="O49" s="10"/>
      <c r="P49" s="10"/>
    </row>
    <row r="50" spans="1:16" ht="30" customHeight="1" x14ac:dyDescent="0.15">
      <c r="A50" s="10">
        <v>48</v>
      </c>
      <c r="B50" s="11" t="s">
        <v>237</v>
      </c>
      <c r="C50" s="10" t="s">
        <v>238</v>
      </c>
      <c r="D50" s="12" t="s">
        <v>19</v>
      </c>
      <c r="E50" s="12">
        <v>32</v>
      </c>
      <c r="F50" s="12" t="s">
        <v>20</v>
      </c>
      <c r="G50" s="12" t="s">
        <v>219</v>
      </c>
      <c r="H50" s="9" t="s">
        <v>22</v>
      </c>
      <c r="I50" s="9" t="s">
        <v>23</v>
      </c>
      <c r="J50" s="13" t="s">
        <v>220</v>
      </c>
      <c r="K50" s="12"/>
      <c r="L50" s="12" t="s">
        <v>19</v>
      </c>
      <c r="M50" s="12"/>
      <c r="N50" s="10"/>
      <c r="O50" s="10"/>
      <c r="P50" s="10"/>
    </row>
    <row r="51" spans="1:16" ht="30" customHeight="1" x14ac:dyDescent="0.15">
      <c r="A51" s="10">
        <v>49</v>
      </c>
      <c r="B51" s="11" t="s">
        <v>239</v>
      </c>
      <c r="C51" s="10" t="s">
        <v>240</v>
      </c>
      <c r="D51" s="12" t="s">
        <v>19</v>
      </c>
      <c r="E51" s="12">
        <v>34</v>
      </c>
      <c r="F51" s="12" t="s">
        <v>20</v>
      </c>
      <c r="G51" s="12" t="s">
        <v>219</v>
      </c>
      <c r="H51" s="9" t="s">
        <v>22</v>
      </c>
      <c r="I51" s="9" t="s">
        <v>23</v>
      </c>
      <c r="J51" s="13" t="s">
        <v>220</v>
      </c>
      <c r="K51" s="12"/>
      <c r="L51" s="12" t="s">
        <v>19</v>
      </c>
      <c r="M51" s="12"/>
      <c r="N51" s="10"/>
      <c r="O51" s="10"/>
      <c r="P51" s="10"/>
    </row>
    <row r="52" spans="1:16" ht="30" customHeight="1" x14ac:dyDescent="0.15">
      <c r="A52" s="10">
        <v>50</v>
      </c>
      <c r="B52" s="11" t="s">
        <v>241</v>
      </c>
      <c r="C52" s="10" t="s">
        <v>242</v>
      </c>
      <c r="D52" s="12" t="s">
        <v>19</v>
      </c>
      <c r="E52" s="12">
        <v>34</v>
      </c>
      <c r="F52" s="12" t="s">
        <v>20</v>
      </c>
      <c r="G52" s="12" t="s">
        <v>219</v>
      </c>
      <c r="H52" s="9" t="s">
        <v>22</v>
      </c>
      <c r="I52" s="9" t="s">
        <v>23</v>
      </c>
      <c r="J52" s="13" t="s">
        <v>220</v>
      </c>
      <c r="K52" s="12"/>
      <c r="L52" s="12" t="s">
        <v>19</v>
      </c>
      <c r="M52" s="12"/>
      <c r="N52" s="10"/>
      <c r="O52" s="10"/>
      <c r="P52" s="10"/>
    </row>
    <row r="53" spans="1:16" ht="30" customHeight="1" x14ac:dyDescent="0.15">
      <c r="A53" s="10">
        <v>51</v>
      </c>
      <c r="B53" s="11" t="s">
        <v>243</v>
      </c>
      <c r="C53" s="10" t="s">
        <v>244</v>
      </c>
      <c r="D53" s="12" t="s">
        <v>19</v>
      </c>
      <c r="E53" s="12">
        <v>32</v>
      </c>
      <c r="F53" s="12" t="s">
        <v>20</v>
      </c>
      <c r="G53" s="12" t="s">
        <v>219</v>
      </c>
      <c r="H53" s="9" t="s">
        <v>22</v>
      </c>
      <c r="I53" s="9" t="s">
        <v>23</v>
      </c>
      <c r="J53" s="13" t="s">
        <v>220</v>
      </c>
      <c r="K53" s="12"/>
      <c r="L53" s="12" t="s">
        <v>19</v>
      </c>
      <c r="M53" s="12"/>
      <c r="N53" s="10"/>
      <c r="O53" s="10"/>
      <c r="P53" s="10"/>
    </row>
    <row r="54" spans="1:16" ht="30" customHeight="1" x14ac:dyDescent="0.15">
      <c r="A54" s="10">
        <v>52</v>
      </c>
      <c r="B54" s="11" t="s">
        <v>245</v>
      </c>
      <c r="C54" s="10" t="s">
        <v>246</v>
      </c>
      <c r="D54" s="12" t="s">
        <v>19</v>
      </c>
      <c r="E54" s="12">
        <v>28</v>
      </c>
      <c r="F54" s="12" t="s">
        <v>20</v>
      </c>
      <c r="G54" s="12" t="s">
        <v>219</v>
      </c>
      <c r="H54" s="9" t="s">
        <v>22</v>
      </c>
      <c r="I54" s="9" t="s">
        <v>23</v>
      </c>
      <c r="J54" s="13" t="s">
        <v>220</v>
      </c>
      <c r="K54" s="12"/>
      <c r="L54" s="12" t="s">
        <v>19</v>
      </c>
      <c r="M54" s="12"/>
      <c r="N54" s="10"/>
      <c r="O54" s="10"/>
      <c r="P54" s="10"/>
    </row>
    <row r="55" spans="1:16" ht="30" customHeight="1" x14ac:dyDescent="0.15">
      <c r="A55" s="10">
        <v>53</v>
      </c>
      <c r="B55" s="11" t="s">
        <v>247</v>
      </c>
      <c r="C55" s="10" t="s">
        <v>248</v>
      </c>
      <c r="D55" s="12" t="s">
        <v>19</v>
      </c>
      <c r="E55" s="12">
        <v>28</v>
      </c>
      <c r="F55" s="12" t="s">
        <v>20</v>
      </c>
      <c r="G55" s="12" t="s">
        <v>219</v>
      </c>
      <c r="H55" s="9" t="s">
        <v>22</v>
      </c>
      <c r="I55" s="9" t="s">
        <v>23</v>
      </c>
      <c r="J55" s="13" t="s">
        <v>220</v>
      </c>
      <c r="K55" s="12"/>
      <c r="L55" s="12" t="s">
        <v>19</v>
      </c>
      <c r="M55" s="12"/>
      <c r="N55" s="10"/>
      <c r="O55" s="10"/>
      <c r="P55" s="10"/>
    </row>
    <row r="56" spans="1:16" ht="30" customHeight="1" x14ac:dyDescent="0.15">
      <c r="A56" s="10">
        <v>54</v>
      </c>
      <c r="B56" s="11" t="s">
        <v>249</v>
      </c>
      <c r="C56" s="10" t="s">
        <v>250</v>
      </c>
      <c r="D56" s="12" t="s">
        <v>19</v>
      </c>
      <c r="E56" s="12">
        <v>36</v>
      </c>
      <c r="F56" s="12" t="s">
        <v>20</v>
      </c>
      <c r="G56" s="12" t="s">
        <v>219</v>
      </c>
      <c r="H56" s="9" t="s">
        <v>22</v>
      </c>
      <c r="I56" s="9" t="s">
        <v>23</v>
      </c>
      <c r="J56" s="13" t="s">
        <v>220</v>
      </c>
      <c r="K56" s="12"/>
      <c r="L56" s="12" t="s">
        <v>19</v>
      </c>
      <c r="M56" s="12"/>
      <c r="N56" s="10"/>
      <c r="O56" s="10"/>
      <c r="P56" s="10"/>
    </row>
    <row r="57" spans="1:16" ht="30" customHeight="1" x14ac:dyDescent="0.15">
      <c r="A57" s="10">
        <v>55</v>
      </c>
      <c r="B57" s="11" t="s">
        <v>251</v>
      </c>
      <c r="C57" s="10" t="s">
        <v>252</v>
      </c>
      <c r="D57" s="12" t="s">
        <v>19</v>
      </c>
      <c r="E57" s="12">
        <v>29</v>
      </c>
      <c r="F57" s="12" t="s">
        <v>20</v>
      </c>
      <c r="G57" s="12" t="s">
        <v>219</v>
      </c>
      <c r="H57" s="9" t="s">
        <v>22</v>
      </c>
      <c r="I57" s="9" t="s">
        <v>23</v>
      </c>
      <c r="J57" s="13" t="s">
        <v>220</v>
      </c>
      <c r="K57" s="12"/>
      <c r="L57" s="12" t="s">
        <v>19</v>
      </c>
      <c r="M57" s="12"/>
      <c r="N57" s="10"/>
      <c r="O57" s="10"/>
      <c r="P57" s="10"/>
    </row>
    <row r="58" spans="1:16" ht="30" customHeight="1" x14ac:dyDescent="0.15">
      <c r="A58" s="10">
        <v>56</v>
      </c>
      <c r="B58" s="11" t="s">
        <v>253</v>
      </c>
      <c r="C58" s="10" t="s">
        <v>254</v>
      </c>
      <c r="D58" s="12" t="s">
        <v>19</v>
      </c>
      <c r="E58" s="12">
        <v>28</v>
      </c>
      <c r="F58" s="12" t="s">
        <v>20</v>
      </c>
      <c r="G58" s="12" t="s">
        <v>219</v>
      </c>
      <c r="H58" s="9" t="s">
        <v>22</v>
      </c>
      <c r="I58" s="9" t="s">
        <v>23</v>
      </c>
      <c r="J58" s="13" t="s">
        <v>220</v>
      </c>
      <c r="K58" s="12"/>
      <c r="L58" s="12" t="s">
        <v>19</v>
      </c>
      <c r="M58" s="12"/>
      <c r="N58" s="10"/>
      <c r="O58" s="10"/>
      <c r="P58" s="10"/>
    </row>
    <row r="59" spans="1:16" ht="30" customHeight="1" x14ac:dyDescent="0.15">
      <c r="A59" s="10">
        <v>57</v>
      </c>
      <c r="B59" s="11" t="s">
        <v>255</v>
      </c>
      <c r="C59" s="10" t="s">
        <v>256</v>
      </c>
      <c r="D59" s="12" t="s">
        <v>19</v>
      </c>
      <c r="E59" s="12">
        <v>14</v>
      </c>
      <c r="F59" s="12" t="s">
        <v>20</v>
      </c>
      <c r="G59" s="12" t="s">
        <v>219</v>
      </c>
      <c r="H59" s="9" t="s">
        <v>22</v>
      </c>
      <c r="I59" s="9" t="s">
        <v>23</v>
      </c>
      <c r="J59" s="13" t="s">
        <v>220</v>
      </c>
      <c r="K59" s="12"/>
      <c r="L59" s="12" t="s">
        <v>19</v>
      </c>
      <c r="M59" s="12"/>
      <c r="N59" s="10"/>
      <c r="O59" s="10"/>
      <c r="P59" s="10"/>
    </row>
    <row r="60" spans="1:16" ht="30" customHeight="1" x14ac:dyDescent="0.15">
      <c r="A60" s="10">
        <v>58</v>
      </c>
      <c r="B60" s="11" t="s">
        <v>257</v>
      </c>
      <c r="C60" s="10" t="s">
        <v>258</v>
      </c>
      <c r="D60" s="12" t="s">
        <v>19</v>
      </c>
      <c r="E60" s="12">
        <v>28</v>
      </c>
      <c r="F60" s="12" t="s">
        <v>20</v>
      </c>
      <c r="G60" s="12" t="s">
        <v>219</v>
      </c>
      <c r="H60" s="9" t="s">
        <v>22</v>
      </c>
      <c r="I60" s="9" t="s">
        <v>23</v>
      </c>
      <c r="J60" s="13" t="s">
        <v>220</v>
      </c>
      <c r="K60" s="12"/>
      <c r="L60" s="12" t="s">
        <v>19</v>
      </c>
      <c r="M60" s="12"/>
      <c r="N60" s="10"/>
      <c r="O60" s="10"/>
      <c r="P60" s="10"/>
    </row>
    <row r="61" spans="1:16" ht="30" customHeight="1" x14ac:dyDescent="0.15">
      <c r="A61" s="10">
        <v>59</v>
      </c>
      <c r="B61" s="11" t="s">
        <v>259</v>
      </c>
      <c r="C61" s="10" t="s">
        <v>260</v>
      </c>
      <c r="D61" s="12" t="s">
        <v>19</v>
      </c>
      <c r="E61" s="12">
        <v>30</v>
      </c>
      <c r="F61" s="12" t="s">
        <v>20</v>
      </c>
      <c r="G61" s="12" t="s">
        <v>219</v>
      </c>
      <c r="H61" s="9" t="s">
        <v>22</v>
      </c>
      <c r="I61" s="9" t="s">
        <v>23</v>
      </c>
      <c r="J61" s="13" t="s">
        <v>220</v>
      </c>
      <c r="K61" s="12"/>
      <c r="L61" s="12" t="s">
        <v>19</v>
      </c>
      <c r="M61" s="12"/>
      <c r="N61" s="10"/>
      <c r="O61" s="10"/>
      <c r="P61" s="10"/>
    </row>
    <row r="62" spans="1:16" ht="30" customHeight="1" x14ac:dyDescent="0.15">
      <c r="A62" s="10">
        <v>60</v>
      </c>
      <c r="B62" s="11" t="s">
        <v>261</v>
      </c>
      <c r="C62" s="10" t="s">
        <v>262</v>
      </c>
      <c r="D62" s="12" t="s">
        <v>19</v>
      </c>
      <c r="E62" s="12">
        <v>32</v>
      </c>
      <c r="F62" s="12" t="s">
        <v>20</v>
      </c>
      <c r="G62" s="12" t="s">
        <v>219</v>
      </c>
      <c r="H62" s="9" t="s">
        <v>22</v>
      </c>
      <c r="I62" s="9" t="s">
        <v>23</v>
      </c>
      <c r="J62" s="13" t="s">
        <v>220</v>
      </c>
      <c r="K62" s="12"/>
      <c r="L62" s="12" t="s">
        <v>19</v>
      </c>
      <c r="M62" s="12"/>
      <c r="N62" s="10"/>
      <c r="O62" s="10"/>
      <c r="P62" s="10"/>
    </row>
    <row r="63" spans="1:16" ht="30" customHeight="1" x14ac:dyDescent="0.15">
      <c r="A63" s="10">
        <v>61</v>
      </c>
      <c r="B63" s="11" t="s">
        <v>263</v>
      </c>
      <c r="C63" s="10" t="s">
        <v>264</v>
      </c>
      <c r="D63" s="12" t="s">
        <v>19</v>
      </c>
      <c r="E63" s="12">
        <v>42</v>
      </c>
      <c r="F63" s="12" t="s">
        <v>20</v>
      </c>
      <c r="G63" s="12" t="s">
        <v>219</v>
      </c>
      <c r="H63" s="9" t="s">
        <v>22</v>
      </c>
      <c r="I63" s="9" t="s">
        <v>23</v>
      </c>
      <c r="J63" s="13" t="s">
        <v>220</v>
      </c>
      <c r="K63" s="12"/>
      <c r="L63" s="12" t="s">
        <v>19</v>
      </c>
      <c r="M63" s="12"/>
      <c r="N63" s="10"/>
      <c r="O63" s="10"/>
      <c r="P63" s="10"/>
    </row>
    <row r="64" spans="1:16" ht="30" customHeight="1" x14ac:dyDescent="0.15">
      <c r="A64" s="10">
        <v>62</v>
      </c>
      <c r="B64" s="11" t="s">
        <v>265</v>
      </c>
      <c r="C64" s="10" t="s">
        <v>266</v>
      </c>
      <c r="D64" s="12" t="s">
        <v>19</v>
      </c>
      <c r="E64" s="12">
        <v>28</v>
      </c>
      <c r="F64" s="12" t="s">
        <v>20</v>
      </c>
      <c r="G64" s="12" t="s">
        <v>219</v>
      </c>
      <c r="H64" s="9" t="s">
        <v>22</v>
      </c>
      <c r="I64" s="9" t="s">
        <v>23</v>
      </c>
      <c r="J64" s="13" t="s">
        <v>220</v>
      </c>
      <c r="K64" s="12"/>
      <c r="L64" s="12" t="s">
        <v>19</v>
      </c>
      <c r="M64" s="12"/>
      <c r="N64" s="10"/>
      <c r="O64" s="10"/>
      <c r="P64" s="10"/>
    </row>
    <row r="65" spans="1:16" ht="30" customHeight="1" x14ac:dyDescent="0.15">
      <c r="A65" s="10">
        <v>63</v>
      </c>
      <c r="B65" s="11" t="s">
        <v>267</v>
      </c>
      <c r="C65" s="10" t="s">
        <v>268</v>
      </c>
      <c r="D65" s="12" t="s">
        <v>19</v>
      </c>
      <c r="E65" s="12">
        <v>28</v>
      </c>
      <c r="F65" s="12" t="s">
        <v>20</v>
      </c>
      <c r="G65" s="12" t="s">
        <v>219</v>
      </c>
      <c r="H65" s="9" t="s">
        <v>22</v>
      </c>
      <c r="I65" s="9" t="s">
        <v>23</v>
      </c>
      <c r="J65" s="13" t="s">
        <v>220</v>
      </c>
      <c r="K65" s="12"/>
      <c r="L65" s="12" t="s">
        <v>19</v>
      </c>
      <c r="M65" s="12"/>
      <c r="N65" s="10"/>
      <c r="O65" s="10"/>
      <c r="P65" s="10"/>
    </row>
    <row r="66" spans="1:16" ht="30" customHeight="1" x14ac:dyDescent="0.15">
      <c r="A66" s="10">
        <v>64</v>
      </c>
      <c r="B66" s="11" t="s">
        <v>269</v>
      </c>
      <c r="C66" s="10" t="s">
        <v>270</v>
      </c>
      <c r="D66" s="12" t="s">
        <v>19</v>
      </c>
      <c r="E66" s="12">
        <v>16</v>
      </c>
      <c r="F66" s="12" t="s">
        <v>95</v>
      </c>
      <c r="G66" s="12" t="s">
        <v>219</v>
      </c>
      <c r="H66" s="9" t="s">
        <v>22</v>
      </c>
      <c r="I66" s="9" t="s">
        <v>23</v>
      </c>
      <c r="J66" s="13" t="s">
        <v>271</v>
      </c>
      <c r="K66" s="12" t="s">
        <v>328</v>
      </c>
      <c r="L66" s="12" t="s">
        <v>19</v>
      </c>
      <c r="M66" s="12"/>
      <c r="N66" s="10"/>
      <c r="O66" s="10"/>
      <c r="P66" s="10"/>
    </row>
    <row r="67" spans="1:16" ht="30" customHeight="1" x14ac:dyDescent="0.15">
      <c r="A67" s="10">
        <v>65</v>
      </c>
      <c r="B67" s="11" t="s">
        <v>259</v>
      </c>
      <c r="C67" s="13" t="s">
        <v>260</v>
      </c>
      <c r="D67" s="12" t="s">
        <v>19</v>
      </c>
      <c r="E67" s="12">
        <v>16</v>
      </c>
      <c r="F67" s="12" t="s">
        <v>95</v>
      </c>
      <c r="G67" s="12" t="s">
        <v>219</v>
      </c>
      <c r="H67" s="9" t="s">
        <v>22</v>
      </c>
      <c r="I67" s="9" t="s">
        <v>23</v>
      </c>
      <c r="J67" s="13" t="s">
        <v>272</v>
      </c>
      <c r="K67" s="12" t="s">
        <v>273</v>
      </c>
      <c r="L67" s="12" t="s">
        <v>19</v>
      </c>
      <c r="M67" s="12" t="s">
        <v>274</v>
      </c>
      <c r="N67" s="10" t="s">
        <v>81</v>
      </c>
      <c r="O67" s="15">
        <v>43466</v>
      </c>
      <c r="P67" s="10"/>
    </row>
    <row r="68" spans="1:16" ht="30" customHeight="1" x14ac:dyDescent="0.15">
      <c r="A68" s="10">
        <v>66</v>
      </c>
      <c r="B68" s="11" t="s">
        <v>275</v>
      </c>
      <c r="C68" s="10" t="s">
        <v>276</v>
      </c>
      <c r="D68" s="12" t="s">
        <v>19</v>
      </c>
      <c r="E68" s="12">
        <v>18</v>
      </c>
      <c r="F68" s="12" t="s">
        <v>95</v>
      </c>
      <c r="G68" s="12" t="s">
        <v>219</v>
      </c>
      <c r="H68" s="9" t="s">
        <v>22</v>
      </c>
      <c r="I68" s="9" t="s">
        <v>23</v>
      </c>
      <c r="J68" s="13" t="s">
        <v>277</v>
      </c>
      <c r="K68" s="12"/>
      <c r="L68" s="12" t="s">
        <v>19</v>
      </c>
      <c r="M68" s="12"/>
      <c r="N68" s="10"/>
      <c r="O68" s="10"/>
      <c r="P68" s="10"/>
    </row>
    <row r="69" spans="1:16" ht="30" customHeight="1" x14ac:dyDescent="0.15">
      <c r="A69" s="10">
        <v>67</v>
      </c>
      <c r="B69" s="11" t="s">
        <v>278</v>
      </c>
      <c r="C69" s="10" t="s">
        <v>279</v>
      </c>
      <c r="D69" s="12" t="s">
        <v>19</v>
      </c>
      <c r="E69" s="12">
        <v>18</v>
      </c>
      <c r="F69" s="12" t="s">
        <v>95</v>
      </c>
      <c r="G69" s="12" t="s">
        <v>219</v>
      </c>
      <c r="H69" s="9" t="s">
        <v>22</v>
      </c>
      <c r="I69" s="9" t="s">
        <v>23</v>
      </c>
      <c r="J69" s="13" t="s">
        <v>280</v>
      </c>
      <c r="K69" s="12" t="s">
        <v>281</v>
      </c>
      <c r="L69" s="12" t="s">
        <v>19</v>
      </c>
      <c r="M69" s="12" t="s">
        <v>282</v>
      </c>
      <c r="N69" s="10" t="s">
        <v>81</v>
      </c>
      <c r="O69" s="10" t="s">
        <v>283</v>
      </c>
      <c r="P69" s="10"/>
    </row>
    <row r="70" spans="1:16" ht="30" customHeight="1" x14ac:dyDescent="0.15">
      <c r="A70" s="10">
        <v>68</v>
      </c>
      <c r="B70" s="11" t="s">
        <v>284</v>
      </c>
      <c r="C70" s="10" t="s">
        <v>285</v>
      </c>
      <c r="D70" s="12" t="s">
        <v>19</v>
      </c>
      <c r="E70" s="12">
        <v>20</v>
      </c>
      <c r="F70" s="12" t="s">
        <v>95</v>
      </c>
      <c r="G70" s="12" t="s">
        <v>219</v>
      </c>
      <c r="H70" s="9" t="s">
        <v>22</v>
      </c>
      <c r="I70" s="9" t="s">
        <v>23</v>
      </c>
      <c r="J70" s="13" t="s">
        <v>286</v>
      </c>
      <c r="K70" s="12" t="s">
        <v>287</v>
      </c>
      <c r="L70" s="12" t="s">
        <v>19</v>
      </c>
      <c r="M70" s="12" t="s">
        <v>81</v>
      </c>
      <c r="N70" s="10" t="s">
        <v>288</v>
      </c>
      <c r="O70" s="15">
        <v>44013</v>
      </c>
      <c r="P70" s="10"/>
    </row>
    <row r="71" spans="1:16" ht="30" customHeight="1" x14ac:dyDescent="0.15">
      <c r="A71" s="10">
        <v>69</v>
      </c>
      <c r="B71" s="11" t="s">
        <v>289</v>
      </c>
      <c r="C71" s="10" t="s">
        <v>290</v>
      </c>
      <c r="D71" s="12" t="s">
        <v>19</v>
      </c>
      <c r="E71" s="12">
        <v>20</v>
      </c>
      <c r="F71" s="21" t="s">
        <v>95</v>
      </c>
      <c r="G71" s="12" t="s">
        <v>219</v>
      </c>
      <c r="H71" s="9" t="s">
        <v>22</v>
      </c>
      <c r="I71" s="9" t="s">
        <v>23</v>
      </c>
      <c r="J71" s="13" t="s">
        <v>291</v>
      </c>
      <c r="K71" s="12"/>
      <c r="L71" s="12" t="s">
        <v>19</v>
      </c>
      <c r="M71" s="12"/>
      <c r="N71" s="10"/>
      <c r="O71" s="10"/>
      <c r="P71" s="10"/>
    </row>
    <row r="72" spans="1:16" ht="30" customHeight="1" x14ac:dyDescent="0.15">
      <c r="A72" s="10">
        <v>70</v>
      </c>
      <c r="B72" s="11" t="s">
        <v>292</v>
      </c>
      <c r="C72" s="10" t="s">
        <v>293</v>
      </c>
      <c r="D72" s="12" t="s">
        <v>19</v>
      </c>
      <c r="E72" s="12">
        <v>36</v>
      </c>
      <c r="F72" s="21" t="s">
        <v>176</v>
      </c>
      <c r="G72" s="12" t="s">
        <v>219</v>
      </c>
      <c r="H72" s="9" t="s">
        <v>22</v>
      </c>
      <c r="I72" s="9" t="s">
        <v>23</v>
      </c>
      <c r="J72" s="13" t="s">
        <v>294</v>
      </c>
      <c r="K72" s="12" t="s">
        <v>295</v>
      </c>
      <c r="L72" s="12" t="s">
        <v>19</v>
      </c>
      <c r="M72" s="12" t="s">
        <v>81</v>
      </c>
      <c r="N72" s="10" t="s">
        <v>296</v>
      </c>
      <c r="O72" s="15">
        <v>40330</v>
      </c>
      <c r="P72" s="10"/>
    </row>
    <row r="73" spans="1:16" ht="30" customHeight="1" x14ac:dyDescent="0.15">
      <c r="A73" s="10">
        <v>71</v>
      </c>
      <c r="B73" s="11" t="s">
        <v>297</v>
      </c>
      <c r="C73" s="10" t="s">
        <v>298</v>
      </c>
      <c r="D73" s="12" t="s">
        <v>44</v>
      </c>
      <c r="E73" s="12">
        <v>36</v>
      </c>
      <c r="F73" s="21" t="s">
        <v>176</v>
      </c>
      <c r="G73" s="12" t="s">
        <v>219</v>
      </c>
      <c r="H73" s="9" t="s">
        <v>41</v>
      </c>
      <c r="I73" s="9" t="s">
        <v>23</v>
      </c>
      <c r="J73" s="13" t="s">
        <v>299</v>
      </c>
      <c r="K73" s="12" t="s">
        <v>300</v>
      </c>
      <c r="L73" s="12" t="s">
        <v>44</v>
      </c>
      <c r="M73" s="12" t="s">
        <v>301</v>
      </c>
      <c r="N73" s="10" t="s">
        <v>111</v>
      </c>
      <c r="O73" s="10" t="s">
        <v>112</v>
      </c>
      <c r="P73" s="10"/>
    </row>
    <row r="74" spans="1:16" ht="30" customHeight="1" x14ac:dyDescent="0.15">
      <c r="A74" s="10">
        <v>72</v>
      </c>
      <c r="B74" s="11" t="s">
        <v>302</v>
      </c>
      <c r="C74" s="10" t="s">
        <v>303</v>
      </c>
      <c r="D74" s="12" t="s">
        <v>19</v>
      </c>
      <c r="E74" s="12">
        <v>36</v>
      </c>
      <c r="F74" s="21" t="s">
        <v>176</v>
      </c>
      <c r="G74" s="12" t="s">
        <v>219</v>
      </c>
      <c r="H74" s="9" t="s">
        <v>22</v>
      </c>
      <c r="I74" s="9" t="s">
        <v>23</v>
      </c>
      <c r="J74" s="13" t="s">
        <v>304</v>
      </c>
      <c r="K74" s="12"/>
      <c r="L74" s="12" t="s">
        <v>19</v>
      </c>
      <c r="M74" s="12"/>
      <c r="N74" s="10"/>
      <c r="O74" s="10"/>
      <c r="P74" s="10"/>
    </row>
    <row r="75" spans="1:16" ht="30" customHeight="1" x14ac:dyDescent="0.15">
      <c r="A75" s="10">
        <v>73</v>
      </c>
      <c r="B75" s="11" t="s">
        <v>305</v>
      </c>
      <c r="C75" s="10" t="s">
        <v>306</v>
      </c>
      <c r="D75" s="12" t="s">
        <v>19</v>
      </c>
      <c r="E75" s="12">
        <v>36</v>
      </c>
      <c r="F75" s="21" t="s">
        <v>176</v>
      </c>
      <c r="G75" s="12" t="s">
        <v>219</v>
      </c>
      <c r="H75" s="9" t="s">
        <v>22</v>
      </c>
      <c r="I75" s="9" t="s">
        <v>23</v>
      </c>
      <c r="J75" s="13" t="s">
        <v>307</v>
      </c>
      <c r="K75" s="12"/>
      <c r="L75" s="12" t="s">
        <v>19</v>
      </c>
      <c r="M75" s="12"/>
      <c r="N75" s="10"/>
      <c r="O75" s="10"/>
      <c r="P75" s="10"/>
    </row>
  </sheetData>
  <autoFilter ref="A2:CK75" xr:uid="{9746E927-936D-4AED-98E1-13E5CB41CC3C}"/>
  <mergeCells count="1">
    <mergeCell ref="A1:P1"/>
  </mergeCells>
  <phoneticPr fontId="6" type="noConversion"/>
  <dataValidations count="7">
    <dataValidation type="whole" allowBlank="1" showInputMessage="1" showErrorMessage="1" sqref="E3:E5 E8:E51" xr:uid="{00000000-0002-0000-0000-000000000000}">
      <formula1>0</formula1>
      <formula2>1000</formula2>
    </dataValidation>
    <dataValidation type="list" allowBlank="1" showInputMessage="1" showErrorMessage="1" sqref="D3:D75" xr:uid="{00000000-0002-0000-0000-000001000000}">
      <formula1>"中文,外文,双语"</formula1>
    </dataValidation>
    <dataValidation allowBlank="1" showInputMessage="1" showErrorMessage="1" sqref="H2 I2:I65" xr:uid="{00000000-0002-0000-0000-000002000000}"/>
    <dataValidation type="list" allowBlank="1" showInputMessage="1" showErrorMessage="1" sqref="H3:H75" xr:uid="{00000000-0002-0000-0000-000003000000}">
      <formula1>"中方开设课程,引进外方课程,共同开发课程,其他"</formula1>
    </dataValidation>
    <dataValidation type="list" allowBlank="1" showInputMessage="1" showErrorMessage="1" sqref="F3:F75" xr:uid="{00000000-0002-0000-0000-000004000000}">
      <formula1>"公共基础课,实践课,专业基础课,专业核心课,专业拓展课"</formula1>
    </dataValidation>
    <dataValidation type="list" allowBlank="1" showInputMessage="1" showErrorMessage="1" sqref="G3:G75" xr:uid="{00000000-0002-0000-0000-000005000000}">
      <formula1>"必修课,选修课"</formula1>
    </dataValidation>
    <dataValidation type="list" allowBlank="1" showInputMessage="1" showErrorMessage="1" sqref="L3:L75" xr:uid="{00000000-0002-0000-0000-000006000000}">
      <formula1>"中文,外文"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workbookViewId="0">
      <selection activeCell="J4" sqref="J4"/>
    </sheetView>
  </sheetViews>
  <sheetFormatPr defaultColWidth="9" defaultRowHeight="14.25" x14ac:dyDescent="0.15"/>
  <cols>
    <col min="1" max="1" width="14.375" style="1" customWidth="1"/>
    <col min="2" max="11" width="12.625" style="1" customWidth="1"/>
    <col min="17" max="17" width="12.625"/>
  </cols>
  <sheetData>
    <row r="1" spans="1:17" ht="30" customHeight="1" x14ac:dyDescent="0.15">
      <c r="A1" s="25" t="s">
        <v>308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7" ht="30" customHeight="1" x14ac:dyDescent="0.15">
      <c r="A2" s="26" t="s">
        <v>8</v>
      </c>
      <c r="B2" s="26" t="s">
        <v>309</v>
      </c>
      <c r="C2" s="26"/>
      <c r="D2" s="26" t="s">
        <v>22</v>
      </c>
      <c r="E2" s="26"/>
      <c r="F2" s="26" t="s">
        <v>41</v>
      </c>
      <c r="G2" s="26"/>
      <c r="H2" s="26" t="s">
        <v>310</v>
      </c>
      <c r="I2" s="26"/>
      <c r="J2" s="26" t="s">
        <v>311</v>
      </c>
      <c r="K2" s="26"/>
    </row>
    <row r="3" spans="1:17" ht="30" customHeight="1" x14ac:dyDescent="0.15">
      <c r="A3" s="26"/>
      <c r="B3" s="2" t="s">
        <v>312</v>
      </c>
      <c r="C3" s="2" t="s">
        <v>313</v>
      </c>
      <c r="D3" s="2" t="s">
        <v>312</v>
      </c>
      <c r="E3" s="2" t="s">
        <v>313</v>
      </c>
      <c r="F3" s="2" t="s">
        <v>312</v>
      </c>
      <c r="G3" s="2" t="s">
        <v>313</v>
      </c>
      <c r="H3" s="2" t="s">
        <v>312</v>
      </c>
      <c r="I3" s="2" t="s">
        <v>313</v>
      </c>
      <c r="J3" s="2" t="s">
        <v>312</v>
      </c>
      <c r="K3" s="2" t="s">
        <v>313</v>
      </c>
    </row>
    <row r="4" spans="1:17" ht="30" customHeight="1" x14ac:dyDescent="0.15">
      <c r="A4" s="2" t="s">
        <v>20</v>
      </c>
      <c r="B4" s="3">
        <f>COUNTIF(培养方案!F:F,A4)</f>
        <v>37</v>
      </c>
      <c r="C4" s="4">
        <f>B4/SUM(B4:B8)</f>
        <v>0.50684931506849318</v>
      </c>
      <c r="D4" s="3">
        <f>COUNTIFS(培养方案!H:H,"中方开设课程",培养方案!F:F,A4)</f>
        <v>34</v>
      </c>
      <c r="E4" s="4">
        <f>D4/SUM(D4:D8)</f>
        <v>0.56666666666666665</v>
      </c>
      <c r="F4" s="3">
        <f>COUNTIFS(培养方案!H:H,"引进外方课程",培养方案!F:F,A4)</f>
        <v>3</v>
      </c>
      <c r="G4" s="4">
        <f>F4/SUM(F4:F8)</f>
        <v>0.23076923076923078</v>
      </c>
      <c r="H4" s="3">
        <f>COUNTIFS(培养方案!H:H,"共同开发课程",培养方案!F:F,A4)</f>
        <v>0</v>
      </c>
      <c r="I4" s="4" t="e">
        <f>H4/SUM(H4:H8)</f>
        <v>#DIV/0!</v>
      </c>
      <c r="J4" s="3">
        <f>COUNTIFS(培养方案!H:H,"其他",培养方案!F:F,A4)</f>
        <v>0</v>
      </c>
      <c r="K4" s="4" t="e">
        <f>J4/SUM(J4:J8)</f>
        <v>#DIV/0!</v>
      </c>
    </row>
    <row r="5" spans="1:17" ht="30" customHeight="1" x14ac:dyDescent="0.15">
      <c r="A5" s="2" t="s">
        <v>314</v>
      </c>
      <c r="B5" s="3">
        <f>COUNTIF(培养方案!F:F,A5)</f>
        <v>0</v>
      </c>
      <c r="C5" s="4">
        <f>B5/SUM(B4:B8)</f>
        <v>0</v>
      </c>
      <c r="D5" s="3">
        <f>COUNTIFS(培养方案!H:H,"中方开设课程",培养方案!F:F,A5)</f>
        <v>0</v>
      </c>
      <c r="E5" s="4">
        <f>D5/SUM(D4:D8)</f>
        <v>0</v>
      </c>
      <c r="F5" s="3">
        <f>COUNTIFS(培养方案!H:H,"引进外方课程",培养方案!F:F,A5)</f>
        <v>0</v>
      </c>
      <c r="G5" s="4">
        <f>F5/SUM(F4:F8)</f>
        <v>0</v>
      </c>
      <c r="H5" s="3">
        <f>COUNTIFS(培养方案!H:H,"共同开发课程",培养方案!F:F,A5)</f>
        <v>0</v>
      </c>
      <c r="I5" s="4" t="e">
        <f>H5/SUM(H4:H8)</f>
        <v>#DIV/0!</v>
      </c>
      <c r="J5" s="3">
        <f>COUNTIFS(培养方案!H:H,"其他",培养方案!F:F,A5)</f>
        <v>0</v>
      </c>
      <c r="K5" s="4" t="e">
        <f>J5/SUM(J4:J8)</f>
        <v>#DIV/0!</v>
      </c>
    </row>
    <row r="6" spans="1:17" ht="30" customHeight="1" x14ac:dyDescent="0.15">
      <c r="A6" s="2" t="s">
        <v>95</v>
      </c>
      <c r="B6" s="3">
        <f>COUNTIF(培养方案!F:F,A6)</f>
        <v>14</v>
      </c>
      <c r="C6" s="4">
        <f>B6/SUM(B4:B8)</f>
        <v>0.19178082191780821</v>
      </c>
      <c r="D6" s="3">
        <f>COUNTIFS(培养方案!H:H,"中方开设课程",培养方案!F:F,A6)</f>
        <v>10</v>
      </c>
      <c r="E6" s="4">
        <f>D6/SUM(D4:D8)</f>
        <v>0.16666666666666666</v>
      </c>
      <c r="F6" s="3">
        <f>COUNTIFS(培养方案!H:H,"引进外方课程",培养方案!F:F,A6)</f>
        <v>4</v>
      </c>
      <c r="G6" s="4">
        <f>F6/SUM(F4:F8)</f>
        <v>0.30769230769230771</v>
      </c>
      <c r="H6" s="3">
        <f>COUNTIFS(培养方案!H:H,"共同开发课程",培养方案!F:F,A6)</f>
        <v>0</v>
      </c>
      <c r="I6" s="4" t="e">
        <f>H6/SUM(H4:H8)</f>
        <v>#DIV/0!</v>
      </c>
      <c r="J6" s="3">
        <f>COUNTIFS(培养方案!H:H,"其他",培养方案!F:F,A6)</f>
        <v>0</v>
      </c>
      <c r="K6" s="4" t="e">
        <f>J6/SUM(J4:J8)</f>
        <v>#DIV/0!</v>
      </c>
    </row>
    <row r="7" spans="1:17" ht="30" customHeight="1" x14ac:dyDescent="0.15">
      <c r="A7" s="2" t="s">
        <v>136</v>
      </c>
      <c r="B7" s="3">
        <f>COUNTIF(培养方案!F:F,A7)</f>
        <v>9</v>
      </c>
      <c r="C7" s="4">
        <f>B7/SUM(B4:B8)</f>
        <v>0.12328767123287671</v>
      </c>
      <c r="D7" s="3">
        <f>COUNTIFS(培养方案!H:H,"中方开设课程",培养方案!F:F,A7)</f>
        <v>6</v>
      </c>
      <c r="E7" s="4">
        <f>D7/SUM(D4:D8)</f>
        <v>0.1</v>
      </c>
      <c r="F7" s="3">
        <f>COUNTIFS(培养方案!H:H,"引进外方课程",培养方案!F:F,A7)</f>
        <v>3</v>
      </c>
      <c r="G7" s="4">
        <f>F7/SUM(F4:F8)</f>
        <v>0.23076923076923078</v>
      </c>
      <c r="H7" s="3">
        <f>COUNTIFS(培养方案!H:H,"共同开发课程",培养方案!F:F,A7)</f>
        <v>0</v>
      </c>
      <c r="I7" s="4" t="e">
        <f>H7/SUM(H4:H8)</f>
        <v>#DIV/0!</v>
      </c>
      <c r="J7" s="3">
        <f>COUNTIFS(培养方案!H:H,"其他",培养方案!F:F,A7)</f>
        <v>0</v>
      </c>
      <c r="K7" s="4" t="e">
        <f>J7/SUM(J4:J8)</f>
        <v>#DIV/0!</v>
      </c>
    </row>
    <row r="8" spans="1:17" ht="30" customHeight="1" x14ac:dyDescent="0.15">
      <c r="A8" s="2" t="s">
        <v>176</v>
      </c>
      <c r="B8" s="3">
        <f>COUNTIF(培养方案!F:F,A8)</f>
        <v>13</v>
      </c>
      <c r="C8" s="4">
        <f>B8/SUM(B4:B8)</f>
        <v>0.17808219178082191</v>
      </c>
      <c r="D8" s="3">
        <f>COUNTIFS(培养方案!H:H,"中方开设课程",培养方案!F:F,A8)</f>
        <v>10</v>
      </c>
      <c r="E8" s="4">
        <f>D8/SUM(D4:D8)</f>
        <v>0.16666666666666666</v>
      </c>
      <c r="F8" s="3">
        <f>COUNTIFS(培养方案!H:H,"引进外方课程",培养方案!F:F,A8)</f>
        <v>3</v>
      </c>
      <c r="G8" s="4">
        <f>F8/SUM(F4:F8)</f>
        <v>0.23076923076923078</v>
      </c>
      <c r="H8" s="3">
        <f>COUNTIFS(培养方案!H:H,"共同开发课程",培养方案!F:F,A8)</f>
        <v>0</v>
      </c>
      <c r="I8" s="4" t="e">
        <f>H8/SUM(H4:H8)</f>
        <v>#DIV/0!</v>
      </c>
      <c r="J8" s="3">
        <f>COUNTIFS(培养方案!H:H,"其他",培养方案!F:F,A8)</f>
        <v>0</v>
      </c>
      <c r="K8" s="4" t="e">
        <f>J8/SUM(J4:J8)</f>
        <v>#DIV/0!</v>
      </c>
    </row>
    <row r="9" spans="1:17" ht="30" customHeight="1" x14ac:dyDescent="0.15">
      <c r="A9" s="2" t="s">
        <v>21</v>
      </c>
      <c r="B9" s="3">
        <f>COUNTIF(培养方案!G:G,A9)</f>
        <v>38</v>
      </c>
      <c r="C9" s="4">
        <f>B9/SUM(B4:B8)</f>
        <v>0.52054794520547942</v>
      </c>
      <c r="D9" s="3">
        <f>COUNTIFS(培养方案!H:H,"中方开设课程",培养方案!G:G,A9)</f>
        <v>26</v>
      </c>
      <c r="E9" s="4">
        <f>D9/SUM(D4:D8)</f>
        <v>0.43333333333333335</v>
      </c>
      <c r="F9" s="3">
        <f>COUNTIFS(培养方案!H:H,"引进外方课程",培养方案!G:G,A9)</f>
        <v>12</v>
      </c>
      <c r="G9" s="4">
        <f>F9/SUM(F4:F8)</f>
        <v>0.92307692307692313</v>
      </c>
      <c r="H9" s="3">
        <f>COUNTIFS(培养方案!H:H,"共同开发课程",培养方案!G:G,A9)</f>
        <v>0</v>
      </c>
      <c r="I9" s="4" t="e">
        <f>H9/SUM(H4:H8)</f>
        <v>#DIV/0!</v>
      </c>
      <c r="J9" s="3">
        <f>COUNTIFS(培养方案!H:H,"其他",培养方案!G:G,A9)</f>
        <v>0</v>
      </c>
      <c r="K9" s="4" t="e">
        <f>J9/SUM(J4:J8)</f>
        <v>#DIV/0!</v>
      </c>
    </row>
    <row r="10" spans="1:17" ht="30" customHeight="1" x14ac:dyDescent="0.15">
      <c r="A10" s="2" t="s">
        <v>219</v>
      </c>
      <c r="B10" s="3">
        <f>COUNTIF(培养方案!G:G,A10)</f>
        <v>35</v>
      </c>
      <c r="C10" s="4">
        <f>B10/SUM(B4:B8)</f>
        <v>0.47945205479452052</v>
      </c>
      <c r="D10" s="3">
        <f>COUNTIFS(培养方案!H:H,"中方开设课程",培养方案!G:G,A10)</f>
        <v>34</v>
      </c>
      <c r="E10" s="4">
        <f>D10/SUM(D4:D8)</f>
        <v>0.56666666666666665</v>
      </c>
      <c r="F10" s="3">
        <f>COUNTIFS(培养方案!H:H,"引进外方课程",培养方案!G:G,A10)</f>
        <v>1</v>
      </c>
      <c r="G10" s="4">
        <f>F10/SUM(F4:F8)</f>
        <v>7.6923076923076927E-2</v>
      </c>
      <c r="H10" s="3">
        <f>COUNTIFS(培养方案!H:H,"共同开发课程",培养方案!G:G,A10)</f>
        <v>0</v>
      </c>
      <c r="I10" s="4" t="e">
        <f>H10/SUM(H4:H8)</f>
        <v>#DIV/0!</v>
      </c>
      <c r="J10" s="3">
        <f>COUNTIFS(培养方案!H:H,"其他",培养方案!G:G,A10)</f>
        <v>0</v>
      </c>
      <c r="K10" s="4" t="e">
        <f>J10/SUM(J4:J8)</f>
        <v>#DIV/0!</v>
      </c>
    </row>
    <row r="11" spans="1:17" ht="30" customHeight="1" x14ac:dyDescent="0.15">
      <c r="A11" s="26" t="s">
        <v>315</v>
      </c>
      <c r="B11" s="26" t="s">
        <v>4</v>
      </c>
      <c r="C11" s="26"/>
      <c r="D11" s="26"/>
      <c r="E11" s="26"/>
      <c r="F11" s="26"/>
      <c r="G11" s="26"/>
      <c r="H11" s="28" t="s">
        <v>316</v>
      </c>
      <c r="I11" s="29"/>
      <c r="J11" s="29"/>
      <c r="K11" s="30"/>
    </row>
    <row r="12" spans="1:17" ht="30" customHeight="1" x14ac:dyDescent="0.15">
      <c r="A12" s="26"/>
      <c r="B12" s="26" t="s">
        <v>317</v>
      </c>
      <c r="C12" s="26"/>
      <c r="D12" s="26" t="s">
        <v>318</v>
      </c>
      <c r="E12" s="26"/>
      <c r="F12" s="26" t="s">
        <v>319</v>
      </c>
      <c r="G12" s="31"/>
      <c r="H12" s="26" t="s">
        <v>317</v>
      </c>
      <c r="I12" s="26"/>
      <c r="J12" s="26" t="s">
        <v>318</v>
      </c>
      <c r="K12" s="26"/>
    </row>
    <row r="13" spans="1:17" ht="30" customHeight="1" x14ac:dyDescent="0.15">
      <c r="A13" s="2" t="s">
        <v>20</v>
      </c>
      <c r="B13" s="27">
        <f>COUNTIFS(培养方案!D:D,"中文",培养方案!F:F,A13)/COUNTIF(培养方案!D:D,"中文")</f>
        <v>0.56666666666666665</v>
      </c>
      <c r="C13" s="27"/>
      <c r="D13" s="27">
        <f>COUNTIFS(培养方案!D:D,"外文",培养方案!F:F,A13)/COUNTIF(培养方案!D:D,"外文")</f>
        <v>0</v>
      </c>
      <c r="E13" s="27"/>
      <c r="F13" s="27">
        <f>COUNTIFS(培养方案!D:D,"双语",培养方案!F:F,A13)/COUNTIF(培养方案!D:D,"双语")</f>
        <v>1</v>
      </c>
      <c r="G13" s="27"/>
      <c r="H13" s="27">
        <f>COUNTIFS(培养方案!L:L,"中文",培养方案!F:F,A13)/COUNTIF(培养方案!L:L,"中文")</f>
        <v>0.56666666666666665</v>
      </c>
      <c r="I13" s="27"/>
      <c r="J13" s="27">
        <f>COUNTIFS(培养方案!L:L,"外文",培养方案!F:F,A13)/COUNTIF(培养方案!L:L,"外文")</f>
        <v>0.23076923076923078</v>
      </c>
      <c r="K13" s="27"/>
    </row>
    <row r="14" spans="1:17" ht="30" customHeight="1" x14ac:dyDescent="0.15">
      <c r="A14" s="2" t="s">
        <v>314</v>
      </c>
      <c r="B14" s="27">
        <f>COUNTIFS(培养方案!D:D,"中文",培养方案!F:F,A14)/COUNTIF(培养方案!D:D,"中文")</f>
        <v>0</v>
      </c>
      <c r="C14" s="27"/>
      <c r="D14" s="27">
        <f>COUNTIFS(培养方案!D:D,"外文",培养方案!F:F,A14)/COUNTIF(培养方案!D:D,"外文")</f>
        <v>0</v>
      </c>
      <c r="E14" s="27"/>
      <c r="F14" s="27">
        <f>COUNTIFS(培养方案!D:D,"双语",培养方案!F:F,A14)/COUNTIF(培养方案!D:D,"双语")</f>
        <v>0</v>
      </c>
      <c r="G14" s="27"/>
      <c r="H14" s="27">
        <f>COUNTIFS(培养方案!L:L,"中文",培养方案!F:F,A14)/COUNTIF(培养方案!L:L,"中文")</f>
        <v>0</v>
      </c>
      <c r="I14" s="27"/>
      <c r="J14" s="27">
        <f>COUNTIFS(培养方案!L:L,"外文",培养方案!F:F,A14)/COUNTIF(培养方案!L:L,"外文")</f>
        <v>0</v>
      </c>
      <c r="K14" s="27"/>
      <c r="Q14" s="5"/>
    </row>
    <row r="15" spans="1:17" ht="30" customHeight="1" x14ac:dyDescent="0.15">
      <c r="A15" s="2" t="s">
        <v>95</v>
      </c>
      <c r="B15" s="27">
        <f>COUNTIFS(培养方案!D:D,"中文",培养方案!F:F,A15)/COUNTIF(培养方案!D:D,"中文")</f>
        <v>0.16666666666666666</v>
      </c>
      <c r="C15" s="27"/>
      <c r="D15" s="27">
        <f>COUNTIFS(培养方案!D:D,"外文",培养方案!F:F,A15)/COUNTIF(培养方案!D:D,"外文")</f>
        <v>0.4</v>
      </c>
      <c r="E15" s="27"/>
      <c r="F15" s="27">
        <f>COUNTIFS(培养方案!D:D,"双语",培养方案!F:F,A15)/COUNTIF(培养方案!D:D,"双语")</f>
        <v>0</v>
      </c>
      <c r="G15" s="27"/>
      <c r="H15" s="27">
        <f>COUNTIFS(培养方案!L:L,"中文",培养方案!F:F,A15)/COUNTIF(培养方案!L:L,"中文")</f>
        <v>0.16666666666666666</v>
      </c>
      <c r="I15" s="27"/>
      <c r="J15" s="27">
        <f>COUNTIFS(培养方案!L:L,"外文",培养方案!F:F,A15)/COUNTIF(培养方案!L:L,"外文")</f>
        <v>0.30769230769230771</v>
      </c>
      <c r="K15" s="27"/>
      <c r="Q15" s="5"/>
    </row>
    <row r="16" spans="1:17" ht="30" customHeight="1" x14ac:dyDescent="0.15">
      <c r="A16" s="2" t="s">
        <v>136</v>
      </c>
      <c r="B16" s="27">
        <f>COUNTIFS(培养方案!D:D,"中文",培养方案!F:F,A16)/COUNTIF(培养方案!D:D,"中文")</f>
        <v>0.1</v>
      </c>
      <c r="C16" s="27"/>
      <c r="D16" s="27">
        <f>COUNTIFS(培养方案!D:D,"外文",培养方案!F:F,A16)/COUNTIF(培养方案!D:D,"外文")</f>
        <v>0.3</v>
      </c>
      <c r="E16" s="27"/>
      <c r="F16" s="27">
        <f>COUNTIFS(培养方案!D:D,"双语",培养方案!F:F,A16)/COUNTIF(培养方案!D:D,"双语")</f>
        <v>0</v>
      </c>
      <c r="G16" s="27"/>
      <c r="H16" s="27">
        <f>COUNTIFS(培养方案!L:L,"中文",培养方案!F:F,A16)/COUNTIF(培养方案!L:L,"中文")</f>
        <v>0.1</v>
      </c>
      <c r="I16" s="27"/>
      <c r="J16" s="27">
        <f>COUNTIFS(培养方案!L:L,"外文",培养方案!F:F,A16)/COUNTIF(培养方案!L:L,"外文")</f>
        <v>0.23076923076923078</v>
      </c>
      <c r="K16" s="27"/>
      <c r="Q16" s="5"/>
    </row>
    <row r="17" spans="1:17" ht="30" customHeight="1" x14ac:dyDescent="0.15">
      <c r="A17" s="2" t="s">
        <v>176</v>
      </c>
      <c r="B17" s="27">
        <f>COUNTIFS(培养方案!D:D,"中文",培养方案!F:F,A17)/COUNTIF(培养方案!D:D,"中文")</f>
        <v>0.16666666666666666</v>
      </c>
      <c r="C17" s="27"/>
      <c r="D17" s="27">
        <f>COUNTIFS(培养方案!D:D,"外文",培养方案!F:F,A17)/COUNTIF(培养方案!D:D,"外文")</f>
        <v>0.3</v>
      </c>
      <c r="E17" s="27"/>
      <c r="F17" s="27">
        <f>COUNTIFS(培养方案!D:D,"双语",培养方案!F:F,A17)/COUNTIF(培养方案!D:D,"双语")</f>
        <v>0</v>
      </c>
      <c r="G17" s="27"/>
      <c r="H17" s="27">
        <f>COUNTIFS(培养方案!L:L,"中文",培养方案!F:F,A17)/COUNTIF(培养方案!L:L,"中文")</f>
        <v>0.16666666666666666</v>
      </c>
      <c r="I17" s="27"/>
      <c r="J17" s="27">
        <f>COUNTIFS(培养方案!L:L,"外文",培养方案!F:F,A17)/COUNTIF(培养方案!L:L,"外文")</f>
        <v>0.23076923076923078</v>
      </c>
      <c r="K17" s="27"/>
      <c r="Q17" s="5"/>
    </row>
    <row r="18" spans="1:17" ht="30" customHeight="1" x14ac:dyDescent="0.15">
      <c r="A18" s="2" t="s">
        <v>21</v>
      </c>
      <c r="B18" s="27">
        <f>COUNTIFS(培养方案!D:D,"中文",培养方案!G:G,A18)/COUNTIF(培养方案!D:D,"中文")</f>
        <v>0.43333333333333335</v>
      </c>
      <c r="C18" s="27"/>
      <c r="D18" s="27">
        <f>COUNTIFS(培养方案!D:D,"外文",培养方案!G:G,A18)/COUNTIF(培养方案!D:D,"外文")</f>
        <v>0.9</v>
      </c>
      <c r="E18" s="27"/>
      <c r="F18" s="27">
        <f>COUNTIFS(培养方案!D:D,"双语",培养方案!G:G,A18)/COUNTIF(培养方案!D:D,"双语")</f>
        <v>1</v>
      </c>
      <c r="G18" s="27"/>
      <c r="H18" s="27">
        <f>COUNTIFS(培养方案!L:L,"中文",培养方案!G:G,A18)/COUNTIF(培养方案!L:L,"中文")</f>
        <v>0.43333333333333335</v>
      </c>
      <c r="I18" s="27"/>
      <c r="J18" s="27">
        <f>COUNTIFS(培养方案!L:L,"外文",培养方案!G:G,A18)/COUNTIF(培养方案!L:L,"外文")</f>
        <v>0.92307692307692313</v>
      </c>
      <c r="K18" s="27"/>
      <c r="Q18" s="5"/>
    </row>
    <row r="19" spans="1:17" ht="30" customHeight="1" x14ac:dyDescent="0.15">
      <c r="A19" s="2" t="s">
        <v>219</v>
      </c>
      <c r="B19" s="27">
        <f>COUNTIFS(培养方案!D:D,"中文",培养方案!G:G,A19)/COUNTIF(培养方案!D:D,"中文")</f>
        <v>0.56666666666666665</v>
      </c>
      <c r="C19" s="27"/>
      <c r="D19" s="27">
        <f>COUNTIFS(培养方案!D:D,"外文",培养方案!G:G,A19)/COUNTIF(培养方案!D:D,"外文")</f>
        <v>0.1</v>
      </c>
      <c r="E19" s="27"/>
      <c r="F19" s="27">
        <f>COUNTIFS(培养方案!D:D,"外文",培养方案!G:G,A19)/COUNTIF(培养方案!D:D,"外文")</f>
        <v>0.1</v>
      </c>
      <c r="G19" s="27"/>
      <c r="H19" s="27">
        <f>COUNTIFS(培养方案!L:L,"中文",培养方案!G:G,A19)/COUNTIF(培养方案!L:L,"中文")</f>
        <v>0.56666666666666665</v>
      </c>
      <c r="I19" s="27"/>
      <c r="J19" s="27">
        <f>COUNTIFS(培养方案!L:L,"外文",培养方案!G:G,A19)/COUNTIF(培养方案!L:L,"外文")</f>
        <v>7.6923076923076927E-2</v>
      </c>
      <c r="K19" s="27"/>
    </row>
  </sheetData>
  <sheetProtection password="D228" sheet="1" objects="1"/>
  <mergeCells count="50">
    <mergeCell ref="A11:A12"/>
    <mergeCell ref="B19:C19"/>
    <mergeCell ref="D19:E19"/>
    <mergeCell ref="F19:G19"/>
    <mergeCell ref="H19:I19"/>
    <mergeCell ref="B17:C17"/>
    <mergeCell ref="D17:E17"/>
    <mergeCell ref="F17:G17"/>
    <mergeCell ref="H17:I17"/>
    <mergeCell ref="B15:C15"/>
    <mergeCell ref="D15:E15"/>
    <mergeCell ref="F15:G15"/>
    <mergeCell ref="H15:I15"/>
    <mergeCell ref="B13:C13"/>
    <mergeCell ref="D13:E13"/>
    <mergeCell ref="F13:G13"/>
    <mergeCell ref="J19:K19"/>
    <mergeCell ref="B18:C18"/>
    <mergeCell ref="D18:E18"/>
    <mergeCell ref="F18:G18"/>
    <mergeCell ref="H18:I18"/>
    <mergeCell ref="J18:K18"/>
    <mergeCell ref="J17:K17"/>
    <mergeCell ref="B16:C16"/>
    <mergeCell ref="D16:E16"/>
    <mergeCell ref="F16:G16"/>
    <mergeCell ref="H16:I16"/>
    <mergeCell ref="J16:K16"/>
    <mergeCell ref="J15:K15"/>
    <mergeCell ref="B14:C14"/>
    <mergeCell ref="D14:E14"/>
    <mergeCell ref="F14:G14"/>
    <mergeCell ref="H14:I14"/>
    <mergeCell ref="J14:K14"/>
    <mergeCell ref="H13:I13"/>
    <mergeCell ref="J13:K13"/>
    <mergeCell ref="B11:G11"/>
    <mergeCell ref="H11:K11"/>
    <mergeCell ref="B12:C12"/>
    <mergeCell ref="D12:E12"/>
    <mergeCell ref="F12:G12"/>
    <mergeCell ref="H12:I12"/>
    <mergeCell ref="J12:K12"/>
    <mergeCell ref="A1:K1"/>
    <mergeCell ref="B2:C2"/>
    <mergeCell ref="D2:E2"/>
    <mergeCell ref="F2:G2"/>
    <mergeCell ref="H2:I2"/>
    <mergeCell ref="J2:K2"/>
    <mergeCell ref="A2:A3"/>
  </mergeCells>
  <phoneticPr fontId="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workbookViewId="0">
      <selection activeCell="F10" sqref="F10"/>
    </sheetView>
  </sheetViews>
  <sheetFormatPr defaultColWidth="9" defaultRowHeight="14.25" x14ac:dyDescent="0.15"/>
  <cols>
    <col min="1" max="1" width="14.375" style="1" customWidth="1"/>
    <col min="2" max="11" width="12.625" style="1" customWidth="1"/>
    <col min="14" max="14" width="12.625"/>
  </cols>
  <sheetData>
    <row r="1" spans="1:17" ht="30" customHeight="1" x14ac:dyDescent="0.15">
      <c r="A1" s="25" t="s">
        <v>308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7" ht="30" customHeight="1" x14ac:dyDescent="0.15">
      <c r="A2" s="26" t="s">
        <v>8</v>
      </c>
      <c r="B2" s="26" t="s">
        <v>309</v>
      </c>
      <c r="C2" s="26"/>
      <c r="D2" s="26" t="s">
        <v>22</v>
      </c>
      <c r="E2" s="26"/>
      <c r="F2" s="26" t="s">
        <v>41</v>
      </c>
      <c r="G2" s="26"/>
      <c r="H2" s="26" t="s">
        <v>310</v>
      </c>
      <c r="I2" s="26"/>
      <c r="J2" s="26" t="s">
        <v>311</v>
      </c>
      <c r="K2" s="26"/>
    </row>
    <row r="3" spans="1:17" ht="30" customHeight="1" x14ac:dyDescent="0.15">
      <c r="A3" s="26"/>
      <c r="B3" s="2" t="s">
        <v>312</v>
      </c>
      <c r="C3" s="2" t="s">
        <v>313</v>
      </c>
      <c r="D3" s="2" t="s">
        <v>312</v>
      </c>
      <c r="E3" s="2" t="s">
        <v>313</v>
      </c>
      <c r="F3" s="2" t="s">
        <v>312</v>
      </c>
      <c r="G3" s="2" t="s">
        <v>313</v>
      </c>
      <c r="H3" s="2" t="s">
        <v>312</v>
      </c>
      <c r="I3" s="2" t="s">
        <v>313</v>
      </c>
      <c r="J3" s="2" t="s">
        <v>312</v>
      </c>
      <c r="K3" s="2" t="s">
        <v>313</v>
      </c>
    </row>
    <row r="4" spans="1:17" ht="30" customHeight="1" x14ac:dyDescent="0.15">
      <c r="A4" s="2" t="s">
        <v>20</v>
      </c>
      <c r="B4" s="3">
        <f>+COUNTIF(培养方案!F:F,"公共基础课")</f>
        <v>37</v>
      </c>
      <c r="C4" s="4">
        <f>B4/SUM($B$4:$B$8)</f>
        <v>0.50684931506849318</v>
      </c>
      <c r="D4" s="3">
        <f>+COUNTIFS(培养方案!F:F,"公共基础课",培养方案!H:H,"中方开设课程")</f>
        <v>34</v>
      </c>
      <c r="E4" s="4">
        <f>D4/SUM(D4:D8)</f>
        <v>0.56666666666666665</v>
      </c>
      <c r="F4" s="3">
        <f>+COUNTIFS(培养方案!F:F,"公共基础课",培养方案!H:H,"引进外方课程")</f>
        <v>3</v>
      </c>
      <c r="G4" s="4">
        <f>F4/SUM(F4:F8)</f>
        <v>0.23076923076923078</v>
      </c>
      <c r="H4" s="3">
        <f>+COUNTIFS(培养方案!F:F,"公共基础课",培养方案!H:H,"共同开发课程")</f>
        <v>0</v>
      </c>
      <c r="I4" s="4" t="e">
        <f>H4/SUM(H4:H8)</f>
        <v>#DIV/0!</v>
      </c>
      <c r="J4" s="3">
        <f>+COUNTIFS(培养方案!F:F,"公共基础课",培养方案!H:H,"其他")</f>
        <v>0</v>
      </c>
      <c r="K4" s="4" t="e">
        <f>J4/SUM(J4:J8)</f>
        <v>#DIV/0!</v>
      </c>
    </row>
    <row r="5" spans="1:17" ht="30" customHeight="1" x14ac:dyDescent="0.15">
      <c r="A5" s="2" t="s">
        <v>314</v>
      </c>
      <c r="B5" s="3">
        <f>+COUNTIF(培养方案!F:F,"实践课")</f>
        <v>0</v>
      </c>
      <c r="C5" s="4">
        <f t="shared" ref="C5:C8" si="0">B5/SUM($B$4:$B$8)</f>
        <v>0</v>
      </c>
      <c r="D5" s="3">
        <f>+COUNTIFS(培养方案!F:F,"实践课",培养方案!H:H,"中方开设课程")</f>
        <v>0</v>
      </c>
      <c r="E5" s="4">
        <f>D5/SUM(D4:D8)</f>
        <v>0</v>
      </c>
      <c r="F5" s="3">
        <f>+COUNTIFS(培养方案!F:F,"实践课",培养方案!H:H,"引进外方课程")</f>
        <v>0</v>
      </c>
      <c r="G5" s="4">
        <f>F5/SUM(F4:F8)</f>
        <v>0</v>
      </c>
      <c r="H5" s="3">
        <f>+COUNTIFS(培养方案!F:F,"实践课",培养方案!H:H,"共同开发课程")</f>
        <v>0</v>
      </c>
      <c r="I5" s="4" t="e">
        <f>H5/SUM(H4:H8)</f>
        <v>#DIV/0!</v>
      </c>
      <c r="J5" s="3">
        <f>+COUNTIFS(培养方案!F:F,"实践课",培养方案!H:H,"其他")</f>
        <v>0</v>
      </c>
      <c r="K5" s="4" t="e">
        <f>J5/SUM(J4:J8)</f>
        <v>#DIV/0!</v>
      </c>
    </row>
    <row r="6" spans="1:17" ht="30" customHeight="1" x14ac:dyDescent="0.15">
      <c r="A6" s="2" t="s">
        <v>95</v>
      </c>
      <c r="B6" s="3">
        <f>+COUNTIF(培养方案!F:F,"专业基础课")</f>
        <v>14</v>
      </c>
      <c r="C6" s="4">
        <f t="shared" si="0"/>
        <v>0.19178082191780821</v>
      </c>
      <c r="D6" s="3">
        <f>+COUNTIFS(培养方案!F:F,"专业基础课",培养方案!H:H,"中方开设课程")</f>
        <v>10</v>
      </c>
      <c r="E6" s="4">
        <f>D6/SUM(D4:D8)</f>
        <v>0.16666666666666666</v>
      </c>
      <c r="F6" s="3">
        <f>+COUNTIFS(培养方案!F:F,"专业基础课",培养方案!H:H,"引进外方课程")</f>
        <v>4</v>
      </c>
      <c r="G6" s="4">
        <f>F6/SUM(F4:F8)</f>
        <v>0.30769230769230771</v>
      </c>
      <c r="H6" s="3">
        <f>+COUNTIFS(培养方案!F:F,"专业基础课",培养方案!H:H,"共同开发课程")</f>
        <v>0</v>
      </c>
      <c r="I6" s="4" t="e">
        <f>H6/SUM(H4:H8)</f>
        <v>#DIV/0!</v>
      </c>
      <c r="J6" s="3">
        <f>+COUNTIFS(培养方案!F:F,"专业基础课",培养方案!H:H,"其他")</f>
        <v>0</v>
      </c>
      <c r="K6" s="4" t="e">
        <f>J6/SUM(J4:J8)</f>
        <v>#DIV/0!</v>
      </c>
    </row>
    <row r="7" spans="1:17" ht="30" customHeight="1" x14ac:dyDescent="0.15">
      <c r="A7" s="2" t="s">
        <v>136</v>
      </c>
      <c r="B7" s="3">
        <f>+COUNTIF(培养方案!F:F,"专业核心课")</f>
        <v>9</v>
      </c>
      <c r="C7" s="4">
        <f t="shared" si="0"/>
        <v>0.12328767123287671</v>
      </c>
      <c r="D7" s="3">
        <f>+COUNTIFS(培养方案!F:F,"专业核心课",培养方案!H:H,"中方开设课程")</f>
        <v>6</v>
      </c>
      <c r="E7" s="4">
        <f>D7/SUM(D4:D8)</f>
        <v>0.1</v>
      </c>
      <c r="F7" s="3">
        <f>+COUNTIFS(培养方案!F:F,"专业核心课",培养方案!H:H,"引进外方课程")</f>
        <v>3</v>
      </c>
      <c r="G7" s="4">
        <f>F7/SUM(F4:F8)</f>
        <v>0.23076923076923078</v>
      </c>
      <c r="H7" s="3">
        <f>+COUNTIFS(培养方案!F:F,"专业基础课",培养方案!H:H,"共同开发课程")</f>
        <v>0</v>
      </c>
      <c r="I7" s="4" t="e">
        <f>H7/SUM(H4:H8)</f>
        <v>#DIV/0!</v>
      </c>
      <c r="J7" s="3">
        <f>+COUNTIFS(培养方案!F:F,"专业核心课",培养方案!H:H,"其他")</f>
        <v>0</v>
      </c>
      <c r="K7" s="4" t="e">
        <f>J7/SUM(J4:J8)</f>
        <v>#DIV/0!</v>
      </c>
    </row>
    <row r="8" spans="1:17" ht="30" customHeight="1" x14ac:dyDescent="0.15">
      <c r="A8" s="2" t="s">
        <v>176</v>
      </c>
      <c r="B8" s="3">
        <f>+COUNTIF(培养方案!F:F,"专业拓展课")</f>
        <v>13</v>
      </c>
      <c r="C8" s="4">
        <f t="shared" si="0"/>
        <v>0.17808219178082191</v>
      </c>
      <c r="D8" s="3">
        <f>+COUNTIFS(培养方案!F:F,"专业拓展课",培养方案!H:H,"中方开设课程")</f>
        <v>10</v>
      </c>
      <c r="E8" s="4">
        <f>D8/SUM(D4:D8)</f>
        <v>0.16666666666666666</v>
      </c>
      <c r="F8" s="3">
        <f>+COUNTIFS(培养方案!F:F,"专业拓展课",培养方案!H:H,"引进外方课程")</f>
        <v>3</v>
      </c>
      <c r="G8" s="4">
        <f>F8/SUM(F4:F8)</f>
        <v>0.23076923076923078</v>
      </c>
      <c r="H8" s="3">
        <f>+COUNTIFS(培养方案!F:F,"专业拓展课",培养方案!H:H,"共同开发课程")</f>
        <v>0</v>
      </c>
      <c r="I8" s="4" t="e">
        <f>H8/SUM(H4:H8)</f>
        <v>#DIV/0!</v>
      </c>
      <c r="J8" s="3">
        <f>+COUNTIFS(培养方案!F:F,"专业拓展课",培养方案!H:H,"其他")</f>
        <v>0</v>
      </c>
      <c r="K8" s="4" t="e">
        <f>J8/SUM(J4:J8)</f>
        <v>#DIV/0!</v>
      </c>
    </row>
    <row r="9" spans="1:17" ht="30" customHeight="1" x14ac:dyDescent="0.15">
      <c r="A9" s="2" t="s">
        <v>21</v>
      </c>
      <c r="B9" s="3">
        <f>+COUNTIF(培养方案!G:G,"必修课")</f>
        <v>38</v>
      </c>
      <c r="C9" s="4">
        <f>B9/SUM($B$9:$B$10)</f>
        <v>0.52054794520547942</v>
      </c>
      <c r="D9" s="3">
        <f>+COUNTIFS(培养方案!G:G,"必修课",培养方案!H:H,"中方开设课程")</f>
        <v>26</v>
      </c>
      <c r="E9" s="4">
        <f>D9/SUM($D$9:$D$10)</f>
        <v>0.43333333333333335</v>
      </c>
      <c r="F9" s="3">
        <f>+COUNTIFS(培养方案!G:G,"必修课",培养方案!H:H,"引进外方课程")</f>
        <v>12</v>
      </c>
      <c r="G9" s="4">
        <f>F9/SUM(F4:F8)</f>
        <v>0.92307692307692313</v>
      </c>
      <c r="H9" s="3">
        <f>+COUNTIFS(培养方案!G:G,"必修课",培养方案!H:H,"共同开发课程")</f>
        <v>0</v>
      </c>
      <c r="I9" s="4" t="e">
        <f>H9/SUM(H4:H8)</f>
        <v>#DIV/0!</v>
      </c>
      <c r="J9" s="3">
        <f>+COUNTIFS(培养方案!G:G,"必修课",培养方案!H:H,"其他")</f>
        <v>0</v>
      </c>
      <c r="K9" s="4" t="e">
        <f>J9/SUM(J4:J8)</f>
        <v>#DIV/0!</v>
      </c>
    </row>
    <row r="10" spans="1:17" ht="30" customHeight="1" x14ac:dyDescent="0.15">
      <c r="A10" s="2" t="s">
        <v>219</v>
      </c>
      <c r="B10" s="3">
        <f>+COUNTIF(培养方案!G:G,"选修课")</f>
        <v>35</v>
      </c>
      <c r="C10" s="4">
        <f>B10/SUM($B$9:$B$10)</f>
        <v>0.47945205479452052</v>
      </c>
      <c r="D10" s="3">
        <f>+COUNTIFS(培养方案!G:G,"选修课",培养方案!H:H,"中方开设课程")</f>
        <v>34</v>
      </c>
      <c r="E10" s="4">
        <f>D10/SUM($D$9:$D$10)</f>
        <v>0.56666666666666665</v>
      </c>
      <c r="F10" s="3">
        <f>+COUNTIFS(培养方案!G:G,"选修课",培养方案!H:H,"引进外方课程")</f>
        <v>1</v>
      </c>
      <c r="G10" s="4">
        <f>F10/SUM(F4:F8)</f>
        <v>7.6923076923076927E-2</v>
      </c>
      <c r="H10" s="3">
        <f>+COUNTIFS(培养方案!G:G,"选修课",培养方案!H:H,"共同开发课程")</f>
        <v>0</v>
      </c>
      <c r="I10" s="4" t="e">
        <f>H10/SUM(H4:H8)</f>
        <v>#DIV/0!</v>
      </c>
      <c r="J10" s="3">
        <f>+COUNTIFS(培养方案!G:G,"选修课",培养方案!J:J,"其他")</f>
        <v>0</v>
      </c>
      <c r="K10" s="4" t="e">
        <f>J10/SUM(J4:J8)</f>
        <v>#DIV/0!</v>
      </c>
    </row>
    <row r="11" spans="1:17" ht="30" customHeight="1" x14ac:dyDescent="0.15">
      <c r="A11" s="26" t="s">
        <v>315</v>
      </c>
      <c r="B11" s="26" t="s">
        <v>4</v>
      </c>
      <c r="C11" s="26"/>
      <c r="D11" s="26"/>
      <c r="E11" s="26"/>
      <c r="F11" s="26"/>
      <c r="G11" s="26"/>
      <c r="H11" s="28" t="s">
        <v>316</v>
      </c>
      <c r="I11" s="29"/>
      <c r="J11" s="29"/>
      <c r="K11" s="30"/>
    </row>
    <row r="12" spans="1:17" ht="30" customHeight="1" x14ac:dyDescent="0.15">
      <c r="A12" s="26"/>
      <c r="B12" s="26" t="s">
        <v>317</v>
      </c>
      <c r="C12" s="26"/>
      <c r="D12" s="26" t="s">
        <v>318</v>
      </c>
      <c r="E12" s="26"/>
      <c r="F12" s="26" t="s">
        <v>319</v>
      </c>
      <c r="G12" s="31"/>
      <c r="H12" s="26" t="s">
        <v>317</v>
      </c>
      <c r="I12" s="26"/>
      <c r="J12" s="26" t="s">
        <v>318</v>
      </c>
      <c r="K12" s="26"/>
      <c r="O12" t="s">
        <v>320</v>
      </c>
    </row>
    <row r="13" spans="1:17" ht="30" customHeight="1" x14ac:dyDescent="0.15">
      <c r="A13" s="2" t="s">
        <v>20</v>
      </c>
      <c r="B13" s="27">
        <f>+COUNTIFS(培养方案!D:D,"中文",培养方案!F:F,"公共基础课")/COUNTIF(培养方案!F:F,"公共基础课")</f>
        <v>0.91891891891891897</v>
      </c>
      <c r="C13" s="27"/>
      <c r="D13" s="27">
        <f>+COUNTIFS(培养方案!D:D,"外文",培养方案!F:F,"公共基础课")/COUNTIF(培养方案!F:F,"公共基础课")</f>
        <v>0</v>
      </c>
      <c r="E13" s="32"/>
      <c r="F13" s="27">
        <f>+COUNTIFS(培养方案!D:D,"双语",培养方案!F:F,"公共基础课")/COUNTIF(培养方案!F:F,"公共基础课")</f>
        <v>8.1081081081081086E-2</v>
      </c>
      <c r="G13" s="27"/>
      <c r="H13" s="27">
        <f>+COUNTIFS(培养方案!L:L,"中文",培养方案!F:F,"公共基础课")/COUNTIF(培养方案!F:F,"公共基础课")</f>
        <v>0.91891891891891897</v>
      </c>
      <c r="I13" s="27"/>
      <c r="J13" s="27">
        <f>+COUNTIFS(培养方案!L:L,"外文",培养方案!F:F,"公共基础课")/COUNTIF(培养方案!F:F,"公共基础课")</f>
        <v>8.1081081081081086E-2</v>
      </c>
      <c r="K13" s="27"/>
    </row>
    <row r="14" spans="1:17" ht="30" customHeight="1" x14ac:dyDescent="0.15">
      <c r="A14" s="2" t="s">
        <v>314</v>
      </c>
      <c r="B14" s="27" t="e">
        <f>+COUNTIFS(培养方案!D:D,"中文",培养方案!F:F,"实践课")/COUNTIF(培养方案!F:F,"实践课")</f>
        <v>#DIV/0!</v>
      </c>
      <c r="C14" s="27"/>
      <c r="D14" s="27" t="e">
        <f>+COUNTIFS(培养方案!D:D,"外文",培养方案!F:F,"实践课")/COUNTIF(培养方案!F:F,"实践课")</f>
        <v>#DIV/0!</v>
      </c>
      <c r="E14" s="32"/>
      <c r="F14" s="27" t="e">
        <f>+COUNTIFS(培养方案!D:D,"双语",培养方案!F:F,"实践课")/COUNTIF(培养方案!F:F,"实践课")</f>
        <v>#DIV/0!</v>
      </c>
      <c r="G14" s="27"/>
      <c r="H14" s="27" t="e">
        <f>+COUNTIFS(培养方案!L:L,"中文",培养方案!F:F,"实践课")/COUNTIF(培养方案!F:F,"实践课")</f>
        <v>#DIV/0!</v>
      </c>
      <c r="I14" s="27"/>
      <c r="J14" s="27" t="e">
        <f>+COUNTIFS(培养方案!L:L,"外文",培养方案!F:F,"实践课")/COUNTIF(培养方案!F:F,"实践课")</f>
        <v>#DIV/0!</v>
      </c>
      <c r="K14" s="27"/>
      <c r="Q14" s="5"/>
    </row>
    <row r="15" spans="1:17" ht="30" customHeight="1" x14ac:dyDescent="0.15">
      <c r="A15" s="2" t="s">
        <v>95</v>
      </c>
      <c r="B15" s="27">
        <f>+COUNTIFS(培养方案!D:D,"中文",培养方案!F:F,"专业基础课")/COUNTIF(培养方案!F:F,"专业基础课")</f>
        <v>0.7142857142857143</v>
      </c>
      <c r="C15" s="27"/>
      <c r="D15" s="27">
        <f>+COUNTIFS(培养方案!D:D,"外文",培养方案!F:F,"专业基础课")/COUNTIF(培养方案!F:F,"专业基础课")</f>
        <v>0.2857142857142857</v>
      </c>
      <c r="E15" s="32"/>
      <c r="F15" s="27">
        <f>+COUNTIFS(培养方案!D:D,"双语",培养方案!F:F,"专业基础课")/COUNTIF(培养方案!F:F,"专业基础课")</f>
        <v>0</v>
      </c>
      <c r="G15" s="27"/>
      <c r="H15" s="27">
        <f>+COUNTIFS(培养方案!L:L,"中文",培养方案!F:F,"专业基础课")/COUNTIF(培养方案!F:F,"专业基础课")</f>
        <v>0.7142857142857143</v>
      </c>
      <c r="I15" s="27"/>
      <c r="J15" s="27">
        <f>+COUNTIFS(培养方案!L:L,"外文",培养方案!F:F,"专业基础课")/COUNTIF(培养方案!F:F,"专业基础课")</f>
        <v>0.2857142857142857</v>
      </c>
      <c r="K15" s="27"/>
      <c r="Q15" s="5"/>
    </row>
    <row r="16" spans="1:17" ht="30" customHeight="1" x14ac:dyDescent="0.15">
      <c r="A16" s="2" t="s">
        <v>136</v>
      </c>
      <c r="B16" s="27">
        <f>+COUNTIFS(培养方案!D:D,"中文",培养方案!F:F,"专业核心课")/COUNTIF(培养方案!F:F,"专业核心课")</f>
        <v>0.66666666666666663</v>
      </c>
      <c r="C16" s="27"/>
      <c r="D16" s="27">
        <f>+COUNTIFS(培养方案!D:D,"外文",培养方案!F:F,"专业核心课")/COUNTIF(培养方案!F:F,"专业核心课")</f>
        <v>0.33333333333333331</v>
      </c>
      <c r="E16" s="32"/>
      <c r="F16" s="27">
        <f>+COUNTIFS(培养方案!D:D,"双语",培养方案!F:F,"专业核心课")/COUNTIF(培养方案!F:F,"专业核心课")</f>
        <v>0</v>
      </c>
      <c r="G16" s="27"/>
      <c r="H16" s="27">
        <f>+COUNTIFS(培养方案!L:L,"中文",培养方案!F:F,"专业核心课")/COUNTIF(培养方案!F:F,"专业核心课")</f>
        <v>0.66666666666666663</v>
      </c>
      <c r="I16" s="27"/>
      <c r="J16" s="27">
        <f>+COUNTIFS(培养方案!L:L,"外文",培养方案!F:F,"专业核心课")/COUNTIF(培养方案!F:F,"专业核心课")</f>
        <v>0.33333333333333331</v>
      </c>
      <c r="K16" s="27"/>
      <c r="Q16" s="5"/>
    </row>
    <row r="17" spans="1:17" ht="30" customHeight="1" x14ac:dyDescent="0.15">
      <c r="A17" s="2" t="s">
        <v>176</v>
      </c>
      <c r="B17" s="27">
        <f>+COUNTIFS(培养方案!D:D,"中文",培养方案!F:F,"专业拓展课")/COUNTIF(培养方案!F:F,"专业拓展课")</f>
        <v>0.76923076923076927</v>
      </c>
      <c r="C17" s="27"/>
      <c r="D17" s="27">
        <f>+COUNTIFS(培养方案!D:D,"外文",培养方案!F:F,"专业拓展课")/COUNTIF(培养方案!F:F,"专业拓展课")</f>
        <v>0.23076923076923078</v>
      </c>
      <c r="E17" s="32"/>
      <c r="F17" s="27">
        <f>+COUNTIFS(培养方案!D:D,"双语",培养方案!F:F,"专业拓展课")/COUNTIF(培养方案!F:F,"专业拓展课")</f>
        <v>0</v>
      </c>
      <c r="G17" s="27"/>
      <c r="H17" s="27">
        <f>+COUNTIFS(培养方案!L:L,"中文",培养方案!F:F,"专业拓展课")/COUNTIF(培养方案!F:F,"专业拓展课")</f>
        <v>0.76923076923076927</v>
      </c>
      <c r="I17" s="27"/>
      <c r="J17" s="27">
        <f>+COUNTIFS(培养方案!L:L,"外文",培养方案!F:F,"专业拓展课")/COUNTIF(培养方案!F:F,"专业拓展课")</f>
        <v>0.23076923076923078</v>
      </c>
      <c r="K17" s="27"/>
      <c r="Q17" s="5"/>
    </row>
    <row r="18" spans="1:17" ht="30" customHeight="1" x14ac:dyDescent="0.15">
      <c r="A18" s="2" t="s">
        <v>21</v>
      </c>
      <c r="B18" s="27">
        <f>+COUNTIFS(培养方案!D:D,"中文",培养方案!G:G,"必修课")/COUNTIF(培养方案!G:G,"必修课")</f>
        <v>0.68421052631578949</v>
      </c>
      <c r="C18" s="27"/>
      <c r="D18" s="27">
        <f>+COUNTIFS(培养方案!D:D,"外文",培养方案!G:G,"必修课")/COUNTIF(培养方案!G:G,"必修课")</f>
        <v>0.23684210526315788</v>
      </c>
      <c r="E18" s="32"/>
      <c r="F18" s="27">
        <f>+COUNTIFS(培养方案!D:D,"双语",培养方案!G:G,"必修课")/COUNTIF(培养方案!G:G,"必修课")</f>
        <v>7.8947368421052627E-2</v>
      </c>
      <c r="G18" s="27"/>
      <c r="H18" s="27">
        <f>+COUNTIFS(培养方案!L:L,"中文",培养方案!G:G,"必修课")/COUNTIF(培养方案!G:G,"必修课")</f>
        <v>0.68421052631578949</v>
      </c>
      <c r="I18" s="27"/>
      <c r="J18" s="27">
        <f>+COUNTIFS(培养方案!L:L,"外文",培养方案!G:G,"必修课")/COUNTIF(培养方案!G:G,"必修课")</f>
        <v>0.31578947368421051</v>
      </c>
      <c r="K18" s="27"/>
      <c r="Q18" s="5"/>
    </row>
    <row r="19" spans="1:17" ht="30" customHeight="1" x14ac:dyDescent="0.15">
      <c r="A19" s="2" t="s">
        <v>219</v>
      </c>
      <c r="B19" s="27">
        <f>+COUNTIFS(培养方案!D:D,"中文",培养方案!G:G,"选修课")/COUNTIF(培养方案!G:G,"选修课")</f>
        <v>0.97142857142857142</v>
      </c>
      <c r="C19" s="27"/>
      <c r="D19" s="27">
        <f>+COUNTIFS(培养方案!D:D,"外文",培养方案!G:G,"选修课")/COUNTIF(培养方案!G:G,"选修课")</f>
        <v>2.8571428571428571E-2</v>
      </c>
      <c r="E19" s="32"/>
      <c r="F19" s="27">
        <f>+COUNTIFS(培养方案!D:D,"双语",培养方案!G:G,"选修课")/COUNTIF(培养方案!G:G,"选修课")</f>
        <v>0</v>
      </c>
      <c r="G19" s="27"/>
      <c r="H19" s="27">
        <f>+COUNTIFS(培养方案!L:L,"中文",培养方案!G:G,"选修课")/COUNTIF(培养方案!G:G,"选修课")</f>
        <v>0.97142857142857142</v>
      </c>
      <c r="I19" s="27"/>
      <c r="J19" s="27">
        <f>+COUNTIFS(培养方案!L:L,"外文",培养方案!G:G,"选修课")/COUNTIF(培养方案!G:G,"选修课")</f>
        <v>2.8571428571428571E-2</v>
      </c>
      <c r="K19" s="27"/>
    </row>
  </sheetData>
  <mergeCells count="50">
    <mergeCell ref="A11:A12"/>
    <mergeCell ref="B19:C19"/>
    <mergeCell ref="D19:E19"/>
    <mergeCell ref="F19:G19"/>
    <mergeCell ref="H19:I19"/>
    <mergeCell ref="B17:C17"/>
    <mergeCell ref="D17:E17"/>
    <mergeCell ref="F17:G17"/>
    <mergeCell ref="H17:I17"/>
    <mergeCell ref="B15:C15"/>
    <mergeCell ref="D15:E15"/>
    <mergeCell ref="F15:G15"/>
    <mergeCell ref="H15:I15"/>
    <mergeCell ref="B13:C13"/>
    <mergeCell ref="D13:E13"/>
    <mergeCell ref="F13:G13"/>
    <mergeCell ref="J19:K19"/>
    <mergeCell ref="B18:C18"/>
    <mergeCell ref="D18:E18"/>
    <mergeCell ref="F18:G18"/>
    <mergeCell ref="H18:I18"/>
    <mergeCell ref="J18:K18"/>
    <mergeCell ref="J17:K17"/>
    <mergeCell ref="B16:C16"/>
    <mergeCell ref="D16:E16"/>
    <mergeCell ref="F16:G16"/>
    <mergeCell ref="H16:I16"/>
    <mergeCell ref="J16:K16"/>
    <mergeCell ref="J15:K15"/>
    <mergeCell ref="B14:C14"/>
    <mergeCell ref="D14:E14"/>
    <mergeCell ref="F14:G14"/>
    <mergeCell ref="H14:I14"/>
    <mergeCell ref="J14:K14"/>
    <mergeCell ref="H13:I13"/>
    <mergeCell ref="J13:K13"/>
    <mergeCell ref="B11:G11"/>
    <mergeCell ref="H11:K11"/>
    <mergeCell ref="B12:C12"/>
    <mergeCell ref="D12:E12"/>
    <mergeCell ref="F12:G12"/>
    <mergeCell ref="H12:I12"/>
    <mergeCell ref="J12:K12"/>
    <mergeCell ref="A1:K1"/>
    <mergeCell ref="B2:C2"/>
    <mergeCell ref="D2:E2"/>
    <mergeCell ref="F2:G2"/>
    <mergeCell ref="H2:I2"/>
    <mergeCell ref="J2:K2"/>
    <mergeCell ref="A2:A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培养方案</vt:lpstr>
      <vt:lpstr>培养方案课程信息统计1</vt:lpstr>
      <vt:lpstr>培养方案课程信息统计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</cp:lastModifiedBy>
  <dcterms:created xsi:type="dcterms:W3CDTF">2022-05-19T02:29:00Z</dcterms:created>
  <dcterms:modified xsi:type="dcterms:W3CDTF">2023-07-30T10:43:44Z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8F6AA8E6E90247A0A8FFC31CAC200F55</vt:lpwstr>
  </property>
  <property fmtid="{D5CDD505-2E9C-101B-9397-08002B2CF9AE}" pid="3" name="KSOProductBuildVer">
    <vt:lpwstr>2052-11.1.0.14309</vt:lpwstr>
  </property>
</Properties>
</file>